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defaultThemeVersion="166925"/>
  <mc:AlternateContent xmlns:mc="http://schemas.openxmlformats.org/markup-compatibility/2006">
    <mc:Choice Requires="x15">
      <x15ac:absPath xmlns:x15ac="http://schemas.microsoft.com/office/spreadsheetml/2010/11/ac" url="/Users/ravi/Library/CloudStorage/Dropbox/Work/Company Research/Current Holdings/Berkshire Hathaway/Other Files/"/>
    </mc:Choice>
  </mc:AlternateContent>
  <xr:revisionPtr revIDLastSave="0" documentId="13_ncr:1_{FE045BE5-22D7-7A4E-8615-73CBC3AC0BDA}" xr6:coauthVersionLast="47" xr6:coauthVersionMax="47" xr10:uidLastSave="{00000000-0000-0000-0000-000000000000}"/>
  <bookViews>
    <workbookView xWindow="0" yWindow="500" windowWidth="28420" windowHeight="16260" xr2:uid="{66D35D92-670D-674D-904B-B229834BABA5}"/>
  </bookViews>
  <sheets>
    <sheet name="TERMS OF USE" sheetId="2" r:id="rId1"/>
    <sheet name="BRK MSR Group Quarterly Data" sheetId="1" r:id="rId2"/>
  </sheets>
  <externalReferences>
    <externalReference r:id="rId3"/>
  </externalReferenc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3" i="1" l="1"/>
  <c r="E79" i="1"/>
  <c r="D79" i="1"/>
  <c r="C79" i="1"/>
  <c r="O76" i="1"/>
  <c r="N76" i="1"/>
  <c r="L76" i="1"/>
  <c r="L93" i="1" s="1"/>
  <c r="D76" i="1"/>
  <c r="U75" i="1"/>
  <c r="T75" i="1"/>
  <c r="S75" i="1"/>
  <c r="E75" i="1"/>
  <c r="E92" i="1" s="1"/>
  <c r="Q74" i="1"/>
  <c r="P74" i="1"/>
  <c r="O74" i="1"/>
  <c r="N74" i="1"/>
  <c r="O71" i="1"/>
  <c r="G71" i="1"/>
  <c r="F71" i="1"/>
  <c r="D71" i="1"/>
  <c r="U70" i="1"/>
  <c r="U87" i="1" s="1"/>
  <c r="O70" i="1"/>
  <c r="N70" i="1"/>
  <c r="M70" i="1"/>
  <c r="L70" i="1"/>
  <c r="C70" i="1"/>
  <c r="C87" i="1" s="1"/>
  <c r="Q69" i="1"/>
  <c r="P69" i="1"/>
  <c r="O69" i="1"/>
  <c r="N69" i="1"/>
  <c r="H69" i="1"/>
  <c r="G69" i="1"/>
  <c r="F69" i="1"/>
  <c r="D69" i="1"/>
  <c r="U60" i="1"/>
  <c r="T60" i="1"/>
  <c r="S60" i="1"/>
  <c r="L60" i="1"/>
  <c r="K60" i="1"/>
  <c r="J60" i="1"/>
  <c r="O59" i="1"/>
  <c r="N59" i="1"/>
  <c r="L59" i="1"/>
  <c r="K59" i="1"/>
  <c r="F59" i="1"/>
  <c r="D59" i="1"/>
  <c r="C59" i="1"/>
  <c r="B59" i="1"/>
  <c r="N58" i="1"/>
  <c r="M58" i="1"/>
  <c r="E58" i="1"/>
  <c r="D58" i="1"/>
  <c r="D61" i="1" s="1"/>
  <c r="T55" i="1"/>
  <c r="S55" i="1"/>
  <c r="R55" i="1"/>
  <c r="P55" i="1"/>
  <c r="K55" i="1"/>
  <c r="J55" i="1"/>
  <c r="H55" i="1"/>
  <c r="G55" i="1"/>
  <c r="S54" i="1"/>
  <c r="R54" i="1"/>
  <c r="I54" i="1"/>
  <c r="C54" i="1"/>
  <c r="B54" i="1"/>
  <c r="U53" i="1"/>
  <c r="T53" i="1"/>
  <c r="N53" i="1"/>
  <c r="M53" i="1"/>
  <c r="L53" i="1"/>
  <c r="K53" i="1"/>
  <c r="B56" i="1"/>
  <c r="X44" i="1"/>
  <c r="K44" i="1"/>
  <c r="C44" i="1"/>
  <c r="B44" i="1"/>
  <c r="X43" i="1"/>
  <c r="W43" i="1"/>
  <c r="V43" i="1"/>
  <c r="T43" i="1"/>
  <c r="S43" i="1"/>
  <c r="R43" i="1"/>
  <c r="Q43" i="1"/>
  <c r="P43" i="1"/>
  <c r="O43" i="1"/>
  <c r="N43" i="1"/>
  <c r="L43" i="1"/>
  <c r="K43" i="1"/>
  <c r="J43" i="1"/>
  <c r="I43" i="1"/>
  <c r="H43" i="1"/>
  <c r="G43" i="1"/>
  <c r="F43" i="1"/>
  <c r="D43" i="1"/>
  <c r="C43" i="1"/>
  <c r="B43" i="1"/>
  <c r="X42" i="1"/>
  <c r="W42" i="1"/>
  <c r="V42" i="1"/>
  <c r="T42" i="1"/>
  <c r="S42" i="1"/>
  <c r="R42" i="1"/>
  <c r="P42" i="1"/>
  <c r="O42" i="1"/>
  <c r="N42" i="1"/>
  <c r="L42" i="1"/>
  <c r="K42" i="1"/>
  <c r="J42" i="1"/>
  <c r="H42" i="1"/>
  <c r="G42" i="1"/>
  <c r="F42" i="1"/>
  <c r="D42" i="1"/>
  <c r="C42" i="1"/>
  <c r="B42" i="1"/>
  <c r="X41" i="1"/>
  <c r="W41" i="1"/>
  <c r="V41" i="1"/>
  <c r="U41" i="1"/>
  <c r="T41" i="1"/>
  <c r="S41" i="1"/>
  <c r="R41" i="1"/>
  <c r="P41" i="1"/>
  <c r="O41" i="1"/>
  <c r="N41" i="1"/>
  <c r="L41" i="1"/>
  <c r="K41" i="1"/>
  <c r="J41" i="1"/>
  <c r="H41" i="1"/>
  <c r="G41" i="1"/>
  <c r="F41" i="1"/>
  <c r="E41" i="1"/>
  <c r="D41" i="1"/>
  <c r="C41" i="1"/>
  <c r="B41" i="1"/>
  <c r="V39" i="1"/>
  <c r="T39" i="1"/>
  <c r="X38" i="1"/>
  <c r="W38" i="1"/>
  <c r="V38" i="1"/>
  <c r="T38" i="1"/>
  <c r="S38" i="1"/>
  <c r="R38" i="1"/>
  <c r="Q38" i="1"/>
  <c r="P38" i="1"/>
  <c r="O38" i="1"/>
  <c r="N38" i="1"/>
  <c r="L38" i="1"/>
  <c r="K38" i="1"/>
  <c r="J38" i="1"/>
  <c r="I38" i="1"/>
  <c r="H38" i="1"/>
  <c r="G38" i="1"/>
  <c r="F38" i="1"/>
  <c r="D38" i="1"/>
  <c r="C38" i="1"/>
  <c r="B38" i="1"/>
  <c r="X37" i="1"/>
  <c r="W37" i="1"/>
  <c r="V37" i="1"/>
  <c r="T37" i="1"/>
  <c r="S37" i="1"/>
  <c r="R37" i="1"/>
  <c r="P37" i="1"/>
  <c r="O37" i="1"/>
  <c r="N37" i="1"/>
  <c r="L37" i="1"/>
  <c r="K37" i="1"/>
  <c r="J37" i="1"/>
  <c r="I37" i="1"/>
  <c r="H37" i="1"/>
  <c r="G37" i="1"/>
  <c r="F37" i="1"/>
  <c r="D37" i="1"/>
  <c r="C37" i="1"/>
  <c r="B37" i="1"/>
  <c r="X36" i="1"/>
  <c r="W36" i="1"/>
  <c r="V36" i="1"/>
  <c r="T36" i="1"/>
  <c r="S36" i="1"/>
  <c r="R36" i="1"/>
  <c r="Q36" i="1"/>
  <c r="P36" i="1"/>
  <c r="O36" i="1"/>
  <c r="N36" i="1"/>
  <c r="L36" i="1"/>
  <c r="K36" i="1"/>
  <c r="J36" i="1"/>
  <c r="H36" i="1"/>
  <c r="G36" i="1"/>
  <c r="F36" i="1"/>
  <c r="D36" i="1"/>
  <c r="C36" i="1"/>
  <c r="B36" i="1"/>
  <c r="U30" i="1"/>
  <c r="Q30" i="1"/>
  <c r="M30" i="1"/>
  <c r="M79" i="1" s="1"/>
  <c r="I30" i="1"/>
  <c r="E30" i="1"/>
  <c r="B79" i="1" s="1"/>
  <c r="T29" i="1"/>
  <c r="T31" i="1" s="1"/>
  <c r="S29" i="1"/>
  <c r="S46" i="1" s="1"/>
  <c r="R29" i="1"/>
  <c r="L29" i="1"/>
  <c r="L31" i="1" s="1"/>
  <c r="K29" i="1"/>
  <c r="K31" i="1" s="1"/>
  <c r="J29" i="1"/>
  <c r="D29" i="1"/>
  <c r="D46" i="1" s="1"/>
  <c r="C29" i="1"/>
  <c r="C46" i="1" s="1"/>
  <c r="B29" i="1"/>
  <c r="B46" i="1" s="1"/>
  <c r="X28" i="1"/>
  <c r="X29" i="1" s="1"/>
  <c r="W28" i="1"/>
  <c r="W29" i="1" s="1"/>
  <c r="V28" i="1"/>
  <c r="V29" i="1" s="1"/>
  <c r="T28" i="1"/>
  <c r="S28" i="1"/>
  <c r="S44" i="1" s="1"/>
  <c r="R28" i="1"/>
  <c r="R44" i="1" s="1"/>
  <c r="Q28" i="1"/>
  <c r="P28" i="1"/>
  <c r="P29" i="1" s="1"/>
  <c r="O28" i="1"/>
  <c r="O29" i="1" s="1"/>
  <c r="N28" i="1"/>
  <c r="N29" i="1" s="1"/>
  <c r="L28" i="1"/>
  <c r="K28" i="1"/>
  <c r="J28" i="1"/>
  <c r="J44" i="1" s="1"/>
  <c r="H28" i="1"/>
  <c r="H29" i="1" s="1"/>
  <c r="G28" i="1"/>
  <c r="G29" i="1" s="1"/>
  <c r="F28" i="1"/>
  <c r="F44" i="1" s="1"/>
  <c r="D28" i="1"/>
  <c r="C28" i="1"/>
  <c r="B28" i="1"/>
  <c r="U27" i="1"/>
  <c r="T76" i="1" s="1"/>
  <c r="T93" i="1" s="1"/>
  <c r="Q27" i="1"/>
  <c r="Q76" i="1" s="1"/>
  <c r="Q93" i="1" s="1"/>
  <c r="M27" i="1"/>
  <c r="M43" i="1" s="1"/>
  <c r="I27" i="1"/>
  <c r="I76" i="1" s="1"/>
  <c r="I93" i="1" s="1"/>
  <c r="E27" i="1"/>
  <c r="U26" i="1"/>
  <c r="Q26" i="1"/>
  <c r="P75" i="1" s="1"/>
  <c r="M26" i="1"/>
  <c r="M42" i="1" s="1"/>
  <c r="I26" i="1"/>
  <c r="H75" i="1" s="1"/>
  <c r="E26" i="1"/>
  <c r="C75" i="1" s="1"/>
  <c r="C92" i="1" s="1"/>
  <c r="U25" i="1"/>
  <c r="T74" i="1" s="1"/>
  <c r="Q25" i="1"/>
  <c r="Q41" i="1" s="1"/>
  <c r="M25" i="1"/>
  <c r="I25" i="1"/>
  <c r="F74" i="1" s="1"/>
  <c r="E25" i="1"/>
  <c r="X23" i="1"/>
  <c r="X39" i="1" s="1"/>
  <c r="W23" i="1"/>
  <c r="W39" i="1" s="1"/>
  <c r="V23" i="1"/>
  <c r="T23" i="1"/>
  <c r="S23" i="1"/>
  <c r="R23" i="1"/>
  <c r="P23" i="1"/>
  <c r="P39" i="1" s="1"/>
  <c r="O23" i="1"/>
  <c r="O39" i="1" s="1"/>
  <c r="N23" i="1"/>
  <c r="N39" i="1" s="1"/>
  <c r="L23" i="1"/>
  <c r="K23" i="1"/>
  <c r="J23" i="1"/>
  <c r="H23" i="1"/>
  <c r="H39" i="1" s="1"/>
  <c r="G23" i="1"/>
  <c r="G39" i="1" s="1"/>
  <c r="F23" i="1"/>
  <c r="F39" i="1" s="1"/>
  <c r="D23" i="1"/>
  <c r="C23" i="1"/>
  <c r="B23" i="1"/>
  <c r="U22" i="1"/>
  <c r="U38" i="1" s="1"/>
  <c r="Q22" i="1"/>
  <c r="N71" i="1" s="1"/>
  <c r="M22" i="1"/>
  <c r="I22" i="1"/>
  <c r="I71" i="1" s="1"/>
  <c r="I88" i="1" s="1"/>
  <c r="E22" i="1"/>
  <c r="E38" i="1" s="1"/>
  <c r="U21" i="1"/>
  <c r="T70" i="1" s="1"/>
  <c r="Q21" i="1"/>
  <c r="Q70" i="1" s="1"/>
  <c r="M21" i="1"/>
  <c r="K70" i="1" s="1"/>
  <c r="I21" i="1"/>
  <c r="I70" i="1" s="1"/>
  <c r="E21" i="1"/>
  <c r="B70" i="1" s="1"/>
  <c r="B87" i="1" s="1"/>
  <c r="U20" i="1"/>
  <c r="U69" i="1" s="1"/>
  <c r="U86" i="1" s="1"/>
  <c r="Q20" i="1"/>
  <c r="M20" i="1"/>
  <c r="M69" i="1" s="1"/>
  <c r="M86" i="1" s="1"/>
  <c r="I20" i="1"/>
  <c r="I69" i="1" s="1"/>
  <c r="E20" i="1"/>
  <c r="E69" i="1" s="1"/>
  <c r="X15" i="1"/>
  <c r="W15" i="1"/>
  <c r="V15" i="1"/>
  <c r="P15" i="1"/>
  <c r="O15" i="1"/>
  <c r="N15" i="1"/>
  <c r="H15" i="1"/>
  <c r="G15" i="1"/>
  <c r="F15" i="1"/>
  <c r="X14" i="1"/>
  <c r="W14" i="1"/>
  <c r="V14" i="1"/>
  <c r="V44" i="1" s="1"/>
  <c r="T14" i="1"/>
  <c r="T15" i="1" s="1"/>
  <c r="S14" i="1"/>
  <c r="R14" i="1"/>
  <c r="R15" i="1" s="1"/>
  <c r="P14" i="1"/>
  <c r="O14" i="1"/>
  <c r="N14" i="1"/>
  <c r="N44" i="1" s="1"/>
  <c r="L14" i="1"/>
  <c r="L15" i="1" s="1"/>
  <c r="K14" i="1"/>
  <c r="J14" i="1"/>
  <c r="J15" i="1" s="1"/>
  <c r="H14" i="1"/>
  <c r="G14" i="1"/>
  <c r="F14" i="1"/>
  <c r="D14" i="1"/>
  <c r="D15" i="1" s="1"/>
  <c r="C14" i="1"/>
  <c r="B14" i="1"/>
  <c r="B15" i="1" s="1"/>
  <c r="U13" i="1"/>
  <c r="R60" i="1" s="1"/>
  <c r="Q13" i="1"/>
  <c r="Q60" i="1" s="1"/>
  <c r="M13" i="1"/>
  <c r="M60" i="1" s="1"/>
  <c r="I13" i="1"/>
  <c r="I60" i="1" s="1"/>
  <c r="E13" i="1"/>
  <c r="D60" i="1" s="1"/>
  <c r="U12" i="1"/>
  <c r="U59" i="1" s="1"/>
  <c r="Q12" i="1"/>
  <c r="Q59" i="1" s="1"/>
  <c r="Q61" i="1" s="1"/>
  <c r="M12" i="1"/>
  <c r="M59" i="1" s="1"/>
  <c r="I12" i="1"/>
  <c r="I59" i="1" s="1"/>
  <c r="E12" i="1"/>
  <c r="E59" i="1" s="1"/>
  <c r="U11" i="1"/>
  <c r="U58" i="1" s="1"/>
  <c r="U61" i="1" s="1"/>
  <c r="Q11" i="1"/>
  <c r="Q58" i="1" s="1"/>
  <c r="M11" i="1"/>
  <c r="L58" i="1" s="1"/>
  <c r="L61" i="1" s="1"/>
  <c r="I11" i="1"/>
  <c r="I58" i="1" s="1"/>
  <c r="E11" i="1"/>
  <c r="C58" i="1" s="1"/>
  <c r="X9" i="1"/>
  <c r="W9" i="1"/>
  <c r="V9" i="1"/>
  <c r="T9" i="1"/>
  <c r="S9" i="1"/>
  <c r="S15" i="1" s="1"/>
  <c r="R9" i="1"/>
  <c r="R39" i="1" s="1"/>
  <c r="P9" i="1"/>
  <c r="O9" i="1"/>
  <c r="N9" i="1"/>
  <c r="L9" i="1"/>
  <c r="L39" i="1" s="1"/>
  <c r="K9" i="1"/>
  <c r="K15" i="1" s="1"/>
  <c r="J9" i="1"/>
  <c r="J39" i="1" s="1"/>
  <c r="H9" i="1"/>
  <c r="G9" i="1"/>
  <c r="F9" i="1"/>
  <c r="D9" i="1"/>
  <c r="D39" i="1" s="1"/>
  <c r="C9" i="1"/>
  <c r="C15" i="1" s="1"/>
  <c r="B9" i="1"/>
  <c r="B39" i="1" s="1"/>
  <c r="U8" i="1"/>
  <c r="U55" i="1" s="1"/>
  <c r="Q8" i="1"/>
  <c r="Q55" i="1" s="1"/>
  <c r="M8" i="1"/>
  <c r="M55" i="1" s="1"/>
  <c r="I8" i="1"/>
  <c r="I55" i="1" s="1"/>
  <c r="E8" i="1"/>
  <c r="B55" i="1" s="1"/>
  <c r="U7" i="1"/>
  <c r="U54" i="1" s="1"/>
  <c r="Q7" i="1"/>
  <c r="Q54" i="1" s="1"/>
  <c r="Q56" i="1" s="1"/>
  <c r="M7" i="1"/>
  <c r="M54" i="1" s="1"/>
  <c r="I7" i="1"/>
  <c r="H54" i="1" s="1"/>
  <c r="E7" i="1"/>
  <c r="E54" i="1" s="1"/>
  <c r="U6" i="1"/>
  <c r="S53" i="1" s="1"/>
  <c r="S56" i="1" s="1"/>
  <c r="Q6" i="1"/>
  <c r="Q53" i="1" s="1"/>
  <c r="M6" i="1"/>
  <c r="J53" i="1" s="1"/>
  <c r="I6" i="1"/>
  <c r="I53" i="1" s="1"/>
  <c r="I56" i="1" s="1"/>
  <c r="E6" i="1"/>
  <c r="E53" i="1" s="1"/>
  <c r="F91" i="1" l="1"/>
  <c r="O31" i="1"/>
  <c r="O46" i="1"/>
  <c r="X46" i="1"/>
  <c r="X31" i="1"/>
  <c r="N61" i="1"/>
  <c r="N62" i="1" s="1"/>
  <c r="P46" i="1"/>
  <c r="P31" i="1"/>
  <c r="G46" i="1"/>
  <c r="G31" i="1"/>
  <c r="K56" i="1"/>
  <c r="E56" i="1"/>
  <c r="T77" i="1"/>
  <c r="H46" i="1"/>
  <c r="H31" i="1"/>
  <c r="C61" i="1"/>
  <c r="Q62" i="1"/>
  <c r="J46" i="1"/>
  <c r="J56" i="1"/>
  <c r="I61" i="1"/>
  <c r="I62" i="1" s="1"/>
  <c r="K87" i="1"/>
  <c r="N56" i="1"/>
  <c r="V46" i="1"/>
  <c r="V31" i="1"/>
  <c r="T56" i="1"/>
  <c r="I86" i="1"/>
  <c r="I72" i="1"/>
  <c r="I89" i="1" s="1"/>
  <c r="T87" i="1"/>
  <c r="N46" i="1"/>
  <c r="N31" i="1"/>
  <c r="W46" i="1"/>
  <c r="W31" i="1"/>
  <c r="R46" i="1"/>
  <c r="D72" i="1"/>
  <c r="O88" i="1"/>
  <c r="N91" i="1"/>
  <c r="I28" i="1"/>
  <c r="T44" i="1"/>
  <c r="I79" i="1"/>
  <c r="G79" i="1"/>
  <c r="F79" i="1"/>
  <c r="T59" i="1"/>
  <c r="E14" i="1"/>
  <c r="E15" i="1" s="1"/>
  <c r="M41" i="1"/>
  <c r="U56" i="1"/>
  <c r="U62" i="1" s="1"/>
  <c r="F86" i="1"/>
  <c r="I87" i="1"/>
  <c r="E74" i="1"/>
  <c r="C74" i="1"/>
  <c r="B74" i="1"/>
  <c r="D44" i="1"/>
  <c r="F58" i="1"/>
  <c r="C60" i="1"/>
  <c r="Q71" i="1"/>
  <c r="Q88" i="1" s="1"/>
  <c r="D74" i="1"/>
  <c r="J75" i="1"/>
  <c r="J92" i="1" s="1"/>
  <c r="O93" i="1"/>
  <c r="M71" i="1"/>
  <c r="M88" i="1" s="1"/>
  <c r="K71" i="1"/>
  <c r="K88" i="1" s="1"/>
  <c r="J71" i="1"/>
  <c r="J88" i="1" s="1"/>
  <c r="M61" i="1"/>
  <c r="M62" i="1" s="1"/>
  <c r="L87" i="1"/>
  <c r="M14" i="1"/>
  <c r="M15" i="1" s="1"/>
  <c r="D93" i="1"/>
  <c r="P76" i="1"/>
  <c r="H79" i="1"/>
  <c r="Q91" i="1"/>
  <c r="K75" i="1"/>
  <c r="K92" i="1" s="1"/>
  <c r="S39" i="1"/>
  <c r="M74" i="1"/>
  <c r="K74" i="1"/>
  <c r="J74" i="1"/>
  <c r="E76" i="1"/>
  <c r="C76" i="1"/>
  <c r="C93" i="1" s="1"/>
  <c r="B76" i="1"/>
  <c r="E28" i="1"/>
  <c r="M28" i="1"/>
  <c r="U28" i="1"/>
  <c r="F29" i="1"/>
  <c r="B31" i="1"/>
  <c r="J31" i="1"/>
  <c r="R31" i="1"/>
  <c r="M38" i="1"/>
  <c r="E43" i="1"/>
  <c r="U43" i="1"/>
  <c r="P44" i="1"/>
  <c r="K46" i="1"/>
  <c r="T46" i="1"/>
  <c r="F53" i="1"/>
  <c r="O53" i="1"/>
  <c r="D54" i="1"/>
  <c r="N54" i="1"/>
  <c r="N87" i="1" s="1"/>
  <c r="C55" i="1"/>
  <c r="L55" i="1"/>
  <c r="L56" i="1" s="1"/>
  <c r="L62" i="1" s="1"/>
  <c r="H58" i="1"/>
  <c r="R58" i="1"/>
  <c r="R61" i="1" s="1"/>
  <c r="R62" i="1" s="1"/>
  <c r="G59" i="1"/>
  <c r="P59" i="1"/>
  <c r="P92" i="1" s="1"/>
  <c r="E60" i="1"/>
  <c r="N60" i="1"/>
  <c r="N93" i="1" s="1"/>
  <c r="R69" i="1"/>
  <c r="G70" i="1"/>
  <c r="P70" i="1"/>
  <c r="H71" i="1"/>
  <c r="H88" i="1" s="1"/>
  <c r="M72" i="1"/>
  <c r="G74" i="1"/>
  <c r="L75" i="1"/>
  <c r="L92" i="1" s="1"/>
  <c r="F76" i="1"/>
  <c r="F93" i="1" s="1"/>
  <c r="J79" i="1"/>
  <c r="Q37" i="1"/>
  <c r="C39" i="1"/>
  <c r="L44" i="1"/>
  <c r="C53" i="1"/>
  <c r="J54" i="1"/>
  <c r="M87" i="1"/>
  <c r="P71" i="1"/>
  <c r="P88" i="1" s="1"/>
  <c r="O91" i="1"/>
  <c r="O77" i="1"/>
  <c r="T92" i="1"/>
  <c r="I23" i="1"/>
  <c r="I39" i="1" s="1"/>
  <c r="D53" i="1"/>
  <c r="T54" i="1"/>
  <c r="O58" i="1"/>
  <c r="O61" i="1" s="1"/>
  <c r="Q87" i="1"/>
  <c r="I14" i="1"/>
  <c r="I15" i="1" s="1"/>
  <c r="Q14" i="1"/>
  <c r="Q15" i="1" s="1"/>
  <c r="C31" i="1"/>
  <c r="S31" i="1"/>
  <c r="E37" i="1"/>
  <c r="M37" i="1"/>
  <c r="U37" i="1"/>
  <c r="I41" i="1"/>
  <c r="H44" i="1"/>
  <c r="Q44" i="1"/>
  <c r="L46" i="1"/>
  <c r="G53" i="1"/>
  <c r="P53" i="1"/>
  <c r="F54" i="1"/>
  <c r="O54" i="1"/>
  <c r="O87" i="1" s="1"/>
  <c r="D55" i="1"/>
  <c r="D88" i="1" s="1"/>
  <c r="J58" i="1"/>
  <c r="J61" i="1" s="1"/>
  <c r="J62" i="1" s="1"/>
  <c r="S58" i="1"/>
  <c r="S61" i="1" s="1"/>
  <c r="S62" i="1" s="1"/>
  <c r="H59" i="1"/>
  <c r="H92" i="1" s="1"/>
  <c r="F60" i="1"/>
  <c r="O60" i="1"/>
  <c r="J69" i="1"/>
  <c r="S69" i="1"/>
  <c r="H70" i="1"/>
  <c r="R70" i="1"/>
  <c r="R87" i="1" s="1"/>
  <c r="H74" i="1"/>
  <c r="B75" i="1"/>
  <c r="B92" i="1" s="1"/>
  <c r="M75" i="1"/>
  <c r="M92" i="1" s="1"/>
  <c r="G76" i="1"/>
  <c r="K79" i="1"/>
  <c r="I75" i="1"/>
  <c r="I92" i="1" s="1"/>
  <c r="G75" i="1"/>
  <c r="G92" i="1" s="1"/>
  <c r="F75" i="1"/>
  <c r="F92" i="1" s="1"/>
  <c r="N86" i="1"/>
  <c r="N72" i="1"/>
  <c r="N89" i="1" s="1"/>
  <c r="U14" i="1"/>
  <c r="E71" i="1"/>
  <c r="E88" i="1" s="1"/>
  <c r="C71" i="1"/>
  <c r="B71" i="1"/>
  <c r="B88" i="1" s="1"/>
  <c r="E23" i="1"/>
  <c r="E39" i="1" s="1"/>
  <c r="M23" i="1"/>
  <c r="M39" i="1" s="1"/>
  <c r="U23" i="1"/>
  <c r="U39" i="1" s="1"/>
  <c r="U74" i="1"/>
  <c r="S74" i="1"/>
  <c r="R74" i="1"/>
  <c r="M76" i="1"/>
  <c r="M93" i="1" s="1"/>
  <c r="K76" i="1"/>
  <c r="K93" i="1" s="1"/>
  <c r="J76" i="1"/>
  <c r="J93" i="1" s="1"/>
  <c r="G44" i="1"/>
  <c r="O44" i="1"/>
  <c r="W44" i="1"/>
  <c r="D31" i="1"/>
  <c r="E36" i="1"/>
  <c r="M36" i="1"/>
  <c r="U36" i="1"/>
  <c r="H53" i="1"/>
  <c r="H56" i="1" s="1"/>
  <c r="R53" i="1"/>
  <c r="R56" i="1" s="1"/>
  <c r="G54" i="1"/>
  <c r="P54" i="1"/>
  <c r="E55" i="1"/>
  <c r="N55" i="1"/>
  <c r="N88" i="1" s="1"/>
  <c r="B58" i="1"/>
  <c r="K58" i="1"/>
  <c r="K61" i="1" s="1"/>
  <c r="T58" i="1"/>
  <c r="T61" i="1" s="1"/>
  <c r="T62" i="1" s="1"/>
  <c r="R59" i="1"/>
  <c r="G60" i="1"/>
  <c r="P60" i="1"/>
  <c r="B69" i="1"/>
  <c r="K69" i="1"/>
  <c r="T69" i="1"/>
  <c r="J70" i="1"/>
  <c r="J87" i="1" s="1"/>
  <c r="S70" i="1"/>
  <c r="S87" i="1" s="1"/>
  <c r="L71" i="1"/>
  <c r="L88" i="1" s="1"/>
  <c r="I74" i="1"/>
  <c r="H76" i="1"/>
  <c r="H93" i="1" s="1"/>
  <c r="L79" i="1"/>
  <c r="U76" i="1"/>
  <c r="U93" i="1" s="1"/>
  <c r="S76" i="1"/>
  <c r="S93" i="1" s="1"/>
  <c r="R76" i="1"/>
  <c r="R93" i="1" s="1"/>
  <c r="D86" i="1"/>
  <c r="K39" i="1"/>
  <c r="E61" i="1"/>
  <c r="B60" i="1"/>
  <c r="O72" i="1"/>
  <c r="D70" i="1"/>
  <c r="D87" i="1" s="1"/>
  <c r="U71" i="1"/>
  <c r="U88" i="1" s="1"/>
  <c r="S71" i="1"/>
  <c r="S88" i="1" s="1"/>
  <c r="R71" i="1"/>
  <c r="R88" i="1" s="1"/>
  <c r="Q23" i="1"/>
  <c r="Q39" i="1" s="1"/>
  <c r="Q75" i="1"/>
  <c r="Q92" i="1" s="1"/>
  <c r="O75" i="1"/>
  <c r="O92" i="1" s="1"/>
  <c r="N75" i="1"/>
  <c r="N92" i="1" s="1"/>
  <c r="Q79" i="1"/>
  <c r="P79" i="1"/>
  <c r="O79" i="1"/>
  <c r="N79" i="1"/>
  <c r="I36" i="1"/>
  <c r="Q42" i="1"/>
  <c r="M56" i="1"/>
  <c r="K54" i="1"/>
  <c r="G86" i="1"/>
  <c r="P86" i="1"/>
  <c r="E70" i="1"/>
  <c r="E87" i="1" s="1"/>
  <c r="U92" i="1"/>
  <c r="E9" i="1"/>
  <c r="M9" i="1"/>
  <c r="U9" i="1"/>
  <c r="U42" i="1"/>
  <c r="U79" i="1"/>
  <c r="T79" i="1"/>
  <c r="S79" i="1"/>
  <c r="R79" i="1"/>
  <c r="I42" i="1"/>
  <c r="L54" i="1"/>
  <c r="G58" i="1"/>
  <c r="P58" i="1"/>
  <c r="H86" i="1"/>
  <c r="Q86" i="1"/>
  <c r="Q72" i="1"/>
  <c r="Q89" i="1" s="1"/>
  <c r="F70" i="1"/>
  <c r="F87" i="1" s="1"/>
  <c r="G88" i="1"/>
  <c r="T71" i="1"/>
  <c r="T88" i="1" s="1"/>
  <c r="E86" i="1"/>
  <c r="I9" i="1"/>
  <c r="Q9" i="1"/>
  <c r="E42" i="1"/>
  <c r="F55" i="1"/>
  <c r="F88" i="1" s="1"/>
  <c r="O55" i="1"/>
  <c r="J59" i="1"/>
  <c r="S59" i="1"/>
  <c r="S92" i="1" s="1"/>
  <c r="H60" i="1"/>
  <c r="C69" i="1"/>
  <c r="L69" i="1"/>
  <c r="E72" i="1"/>
  <c r="L74" i="1"/>
  <c r="D75" i="1"/>
  <c r="D92" i="1" s="1"/>
  <c r="R75" i="1"/>
  <c r="E89" i="1" l="1"/>
  <c r="H61" i="1"/>
  <c r="H62" i="1" s="1"/>
  <c r="O94" i="1"/>
  <c r="O78" i="1"/>
  <c r="G87" i="1"/>
  <c r="U29" i="1"/>
  <c r="U44" i="1"/>
  <c r="M91" i="1"/>
  <c r="M77" i="1"/>
  <c r="C91" i="1"/>
  <c r="C77" i="1"/>
  <c r="D89" i="1"/>
  <c r="M29" i="1"/>
  <c r="M44" i="1"/>
  <c r="D91" i="1"/>
  <c r="D77" i="1"/>
  <c r="E91" i="1"/>
  <c r="E77" i="1"/>
  <c r="Q29" i="1"/>
  <c r="H91" i="1"/>
  <c r="H77" i="1"/>
  <c r="K91" i="1"/>
  <c r="K77" i="1"/>
  <c r="B91" i="1"/>
  <c r="B77" i="1"/>
  <c r="I29" i="1"/>
  <c r="I44" i="1"/>
  <c r="P61" i="1"/>
  <c r="P62" i="1" s="1"/>
  <c r="K62" i="1"/>
  <c r="S86" i="1"/>
  <c r="S72" i="1"/>
  <c r="S89" i="1" s="1"/>
  <c r="P91" i="1"/>
  <c r="E44" i="1"/>
  <c r="E29" i="1"/>
  <c r="C62" i="1"/>
  <c r="L86" i="1"/>
  <c r="L72" i="1"/>
  <c r="L89" i="1" s="1"/>
  <c r="R86" i="1"/>
  <c r="R72" i="1"/>
  <c r="R89" i="1" s="1"/>
  <c r="Q77" i="1"/>
  <c r="T94" i="1"/>
  <c r="F77" i="1"/>
  <c r="U91" i="1"/>
  <c r="U77" i="1"/>
  <c r="P93" i="1"/>
  <c r="E62" i="1"/>
  <c r="P87" i="1"/>
  <c r="O89" i="1"/>
  <c r="L91" i="1"/>
  <c r="L77" i="1"/>
  <c r="J91" i="1"/>
  <c r="J77" i="1"/>
  <c r="F72" i="1"/>
  <c r="I91" i="1"/>
  <c r="I77" i="1"/>
  <c r="F31" i="1"/>
  <c r="F46" i="1"/>
  <c r="C86" i="1"/>
  <c r="C72" i="1"/>
  <c r="C89" i="1" s="1"/>
  <c r="O98" i="1"/>
  <c r="H87" i="1"/>
  <c r="H72" i="1"/>
  <c r="H89" i="1" s="1"/>
  <c r="G72" i="1"/>
  <c r="P77" i="1"/>
  <c r="G61" i="1"/>
  <c r="G62" i="1" s="1"/>
  <c r="T86" i="1"/>
  <c r="T72" i="1"/>
  <c r="T89" i="1" s="1"/>
  <c r="B61" i="1"/>
  <c r="B62" i="1" s="1"/>
  <c r="C88" i="1"/>
  <c r="J86" i="1"/>
  <c r="J72" i="1"/>
  <c r="J89" i="1" s="1"/>
  <c r="B93" i="1"/>
  <c r="R92" i="1"/>
  <c r="K86" i="1"/>
  <c r="K72" i="1"/>
  <c r="K89" i="1" s="1"/>
  <c r="R91" i="1"/>
  <c r="R77" i="1"/>
  <c r="G93" i="1"/>
  <c r="P56" i="1"/>
  <c r="G91" i="1"/>
  <c r="G77" i="1"/>
  <c r="O56" i="1"/>
  <c r="O62" i="1" s="1"/>
  <c r="U72" i="1"/>
  <c r="U89" i="1" s="1"/>
  <c r="N77" i="1"/>
  <c r="T91" i="1"/>
  <c r="O86" i="1"/>
  <c r="B86" i="1"/>
  <c r="B72" i="1"/>
  <c r="B89" i="1" s="1"/>
  <c r="S91" i="1"/>
  <c r="S77" i="1"/>
  <c r="U15" i="1"/>
  <c r="G56" i="1"/>
  <c r="D56" i="1"/>
  <c r="D62" i="1" s="1"/>
  <c r="C56" i="1"/>
  <c r="M89" i="1"/>
  <c r="F56" i="1"/>
  <c r="E93" i="1"/>
  <c r="F61" i="1"/>
  <c r="P72" i="1"/>
  <c r="P89" i="1" s="1"/>
  <c r="S94" i="1" l="1"/>
  <c r="S78" i="1"/>
  <c r="U31" i="1"/>
  <c r="U46" i="1"/>
  <c r="F94" i="1"/>
  <c r="F78" i="1"/>
  <c r="H94" i="1"/>
  <c r="H78" i="1"/>
  <c r="M31" i="1"/>
  <c r="M46" i="1"/>
  <c r="F89" i="1"/>
  <c r="T78" i="1"/>
  <c r="O96" i="1"/>
  <c r="O80" i="1"/>
  <c r="G94" i="1"/>
  <c r="G78" i="1"/>
  <c r="J94" i="1"/>
  <c r="J78" i="1"/>
  <c r="E46" i="1"/>
  <c r="E31" i="1"/>
  <c r="I31" i="1"/>
  <c r="I46" i="1"/>
  <c r="Q31" i="1"/>
  <c r="Q46" i="1"/>
  <c r="C94" i="1"/>
  <c r="C78" i="1"/>
  <c r="Q94" i="1"/>
  <c r="Q78" i="1"/>
  <c r="E94" i="1"/>
  <c r="E78" i="1"/>
  <c r="B94" i="1"/>
  <c r="B78" i="1"/>
  <c r="M94" i="1"/>
  <c r="M78" i="1"/>
  <c r="P94" i="1"/>
  <c r="P78" i="1"/>
  <c r="L94" i="1"/>
  <c r="L78" i="1"/>
  <c r="D94" i="1"/>
  <c r="D78" i="1"/>
  <c r="F62" i="1"/>
  <c r="N94" i="1"/>
  <c r="N78" i="1"/>
  <c r="R94" i="1"/>
  <c r="R78" i="1"/>
  <c r="G89" i="1"/>
  <c r="I94" i="1"/>
  <c r="I78" i="1"/>
  <c r="U94" i="1"/>
  <c r="U78" i="1"/>
  <c r="K94" i="1"/>
  <c r="K78" i="1"/>
  <c r="I96" i="1" l="1"/>
  <c r="I80" i="1"/>
  <c r="I98" i="1"/>
  <c r="B80" i="1"/>
  <c r="B96" i="1"/>
  <c r="B98" i="1"/>
  <c r="G96" i="1"/>
  <c r="G80" i="1"/>
  <c r="G98" i="1"/>
  <c r="E80" i="1"/>
  <c r="E96" i="1"/>
  <c r="E98" i="1"/>
  <c r="R80" i="1"/>
  <c r="R96" i="1"/>
  <c r="R98" i="1"/>
  <c r="K80" i="1"/>
  <c r="K96" i="1"/>
  <c r="K98" i="1"/>
  <c r="P96" i="1"/>
  <c r="P80" i="1"/>
  <c r="P98" i="1"/>
  <c r="T80" i="1"/>
  <c r="T96" i="1"/>
  <c r="T98" i="1"/>
  <c r="S80" i="1"/>
  <c r="S96" i="1"/>
  <c r="S98" i="1"/>
  <c r="D80" i="1"/>
  <c r="D96" i="1"/>
  <c r="D98" i="1"/>
  <c r="H96" i="1"/>
  <c r="H80" i="1"/>
  <c r="H98" i="1"/>
  <c r="L80" i="1"/>
  <c r="L96" i="1"/>
  <c r="L98" i="1"/>
  <c r="F96" i="1"/>
  <c r="F80" i="1"/>
  <c r="F98" i="1"/>
  <c r="Q96" i="1"/>
  <c r="Q80" i="1"/>
  <c r="Q98" i="1"/>
  <c r="N96" i="1"/>
  <c r="N80" i="1"/>
  <c r="N98" i="1"/>
  <c r="U80" i="1"/>
  <c r="U96" i="1"/>
  <c r="U98" i="1"/>
  <c r="M80" i="1"/>
  <c r="M96" i="1"/>
  <c r="M98" i="1"/>
  <c r="C80" i="1"/>
  <c r="C96" i="1"/>
  <c r="C98" i="1"/>
  <c r="J80" i="1"/>
  <c r="J96" i="1"/>
  <c r="J98" i="1"/>
</calcChain>
</file>

<file path=xl/sharedStrings.xml><?xml version="1.0" encoding="utf-8"?>
<sst xmlns="http://schemas.openxmlformats.org/spreadsheetml/2006/main" count="158" uniqueCount="49">
  <si>
    <t>Updated November 4, 2023</t>
  </si>
  <si>
    <t>figures in millions</t>
  </si>
  <si>
    <t>Q3 2023</t>
  </si>
  <si>
    <t>Q2 2023</t>
  </si>
  <si>
    <t>Q1 2023</t>
  </si>
  <si>
    <t>Q4 2022</t>
  </si>
  <si>
    <t>Q3 2022</t>
  </si>
  <si>
    <t>Q2 2022</t>
  </si>
  <si>
    <t>Q1 2022</t>
  </si>
  <si>
    <t>Q4 2021</t>
  </si>
  <si>
    <t>Q3 2021</t>
  </si>
  <si>
    <t>Q2 2021</t>
  </si>
  <si>
    <t>Q1 2021</t>
  </si>
  <si>
    <t>Q4 2020</t>
  </si>
  <si>
    <t>Q3 2020</t>
  </si>
  <si>
    <t>Q2 2020</t>
  </si>
  <si>
    <t>Q1 2020</t>
  </si>
  <si>
    <t>Q4 2019</t>
  </si>
  <si>
    <t>Q3 2019</t>
  </si>
  <si>
    <t>Q2 2019</t>
  </si>
  <si>
    <t>Q1 2019</t>
  </si>
  <si>
    <t>Q4 2018</t>
  </si>
  <si>
    <t>Q3 2018</t>
  </si>
  <si>
    <t>Q2 2018</t>
  </si>
  <si>
    <t>Q1 2018</t>
  </si>
  <si>
    <t>Manufacturing, Service and Retailing Group Revenues</t>
  </si>
  <si>
    <t>Manufacturing Group:</t>
  </si>
  <si>
    <t xml:space="preserve">  Industrial Products</t>
  </si>
  <si>
    <t xml:space="preserve">  Building Products</t>
  </si>
  <si>
    <t xml:space="preserve">  Consumer Products</t>
  </si>
  <si>
    <t>Total Manufacturing Group</t>
  </si>
  <si>
    <t>Service and Retailing Group:</t>
  </si>
  <si>
    <t xml:space="preserve">  Service</t>
  </si>
  <si>
    <t xml:space="preserve">  Retailing</t>
  </si>
  <si>
    <t xml:space="preserve">  McLane</t>
  </si>
  <si>
    <t>Total Service and Retailing Group</t>
  </si>
  <si>
    <t>Total Revenues</t>
  </si>
  <si>
    <t>Manufacturing, Service and Retailing Group Earnings</t>
  </si>
  <si>
    <t>Total Pre-Tax Earnings</t>
  </si>
  <si>
    <t>Income taxes and non-controlling interests</t>
  </si>
  <si>
    <t>Net Earnings</t>
  </si>
  <si>
    <t>Pre-Tax Earnings as a percentage of revenues:</t>
  </si>
  <si>
    <t>Pre-Tax Earnings as a percentage of revenues</t>
  </si>
  <si>
    <t>REVENUES</t>
  </si>
  <si>
    <t>TRAILING TWELVE MONTHS ENDING ON</t>
  </si>
  <si>
    <t>EARNINGS</t>
  </si>
  <si>
    <t>MARGINS</t>
  </si>
  <si>
    <t>Effective Income Tax Rate</t>
  </si>
  <si>
    <t>BRK Manufacturing, Service and Retailing Group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</si>
</sst>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
  </numFmts>
  <fonts count="7" x14ac:knownFonts="1">
    <font>
      <sz val="11"/>
      <color theme="1"/>
      <name val="Calibri"/>
      <family val="2"/>
      <scheme val="minor"/>
    </font>
    <font>
      <sz val="12"/>
      <color theme="1"/>
      <name val="Calibri"/>
      <family val="2"/>
      <scheme val="minor"/>
    </font>
    <font>
      <sz val="11"/>
      <color theme="1"/>
      <name val="Calibri"/>
      <family val="2"/>
      <scheme val="minor"/>
    </font>
    <font>
      <b/>
      <sz val="18"/>
      <color theme="1"/>
      <name val="Calibri"/>
      <family val="2"/>
    </font>
    <font>
      <sz val="14"/>
      <color theme="1"/>
      <name val="Calibri"/>
      <family val="2"/>
      <scheme val="minor"/>
    </font>
    <font>
      <i/>
      <sz val="14"/>
      <color theme="1"/>
      <name val="Calibri"/>
      <family val="2"/>
      <scheme val="minor"/>
    </font>
    <font>
      <b/>
      <sz val="14"/>
      <color theme="1"/>
      <name val="Calibri"/>
      <family val="2"/>
      <scheme val="minor"/>
    </font>
  </fonts>
  <fills count="4">
    <fill>
      <patternFill patternType="none"/>
    </fill>
    <fill>
      <patternFill patternType="gray125"/>
    </fill>
    <fill>
      <patternFill patternType="solid">
        <fgColor rgb="FFFFC000"/>
        <bgColor indexed="64"/>
      </patternFill>
    </fill>
    <fill>
      <patternFill patternType="solid">
        <fgColor theme="4" tint="0.59999389629810485"/>
        <bgColor indexed="64"/>
      </patternFill>
    </fill>
  </fills>
  <borders count="4">
    <border>
      <left/>
      <right/>
      <top/>
      <bottom/>
      <diagonal/>
    </border>
    <border>
      <left/>
      <right/>
      <top/>
      <bottom style="thin">
        <color auto="1"/>
      </bottom>
      <diagonal/>
    </border>
    <border>
      <left/>
      <right/>
      <top style="thin">
        <color auto="1"/>
      </top>
      <bottom/>
      <diagonal/>
    </border>
    <border>
      <left/>
      <right/>
      <top style="thin">
        <color auto="1"/>
      </top>
      <bottom style="double">
        <color auto="1"/>
      </bottom>
      <diagonal/>
    </border>
  </borders>
  <cellStyleXfs count="4">
    <xf numFmtId="0" fontId="0" fillId="0" borderId="0"/>
    <xf numFmtId="43" fontId="2" fillId="0" borderId="0" applyFont="0" applyFill="0" applyBorder="0" applyAlignment="0" applyProtection="0"/>
    <xf numFmtId="9" fontId="2" fillId="0" borderId="0" applyFont="0" applyFill="0" applyBorder="0" applyAlignment="0" applyProtection="0"/>
    <xf numFmtId="0" fontId="1" fillId="0" borderId="0"/>
  </cellStyleXfs>
  <cellXfs count="24">
    <xf numFmtId="0" fontId="0" fillId="0" borderId="0" xfId="0"/>
    <xf numFmtId="0" fontId="3" fillId="0" borderId="0" xfId="0" applyFont="1"/>
    <xf numFmtId="0" fontId="4" fillId="0" borderId="0" xfId="0" applyFont="1"/>
    <xf numFmtId="0" fontId="5" fillId="0" borderId="0" xfId="0" applyFont="1"/>
    <xf numFmtId="0" fontId="6" fillId="0" borderId="0" xfId="0" applyFont="1"/>
    <xf numFmtId="164" fontId="4" fillId="0" borderId="0" xfId="1" applyNumberFormat="1" applyFont="1"/>
    <xf numFmtId="164" fontId="6" fillId="0" borderId="2" xfId="1" applyNumberFormat="1" applyFont="1" applyBorder="1"/>
    <xf numFmtId="164" fontId="6" fillId="0" borderId="3" xfId="1" applyNumberFormat="1" applyFont="1" applyBorder="1"/>
    <xf numFmtId="164" fontId="6" fillId="0" borderId="3" xfId="0" applyNumberFormat="1" applyFont="1" applyBorder="1"/>
    <xf numFmtId="0" fontId="5" fillId="0" borderId="0" xfId="0" applyFont="1" applyAlignment="1">
      <alignment horizontal="right"/>
    </xf>
    <xf numFmtId="164" fontId="5" fillId="0" borderId="0" xfId="1" applyNumberFormat="1" applyFont="1"/>
    <xf numFmtId="165" fontId="4" fillId="0" borderId="0" xfId="2" applyNumberFormat="1" applyFont="1"/>
    <xf numFmtId="165" fontId="6" fillId="0" borderId="0" xfId="2" applyNumberFormat="1" applyFont="1"/>
    <xf numFmtId="0" fontId="6" fillId="2" borderId="0" xfId="0" applyFont="1" applyFill="1" applyAlignment="1">
      <alignment horizontal="center"/>
    </xf>
    <xf numFmtId="0" fontId="6" fillId="2" borderId="0" xfId="0" applyFont="1" applyFill="1" applyAlignment="1">
      <alignment horizontal="center"/>
    </xf>
    <xf numFmtId="0" fontId="5" fillId="2" borderId="1" xfId="0" applyFont="1" applyFill="1" applyBorder="1"/>
    <xf numFmtId="14" fontId="6" fillId="2" borderId="1" xfId="0" applyNumberFormat="1" applyFont="1" applyFill="1" applyBorder="1" applyAlignment="1">
      <alignment horizontal="center"/>
    </xf>
    <xf numFmtId="164" fontId="4" fillId="0" borderId="0" xfId="0" applyNumberFormat="1" applyFont="1"/>
    <xf numFmtId="164" fontId="6" fillId="0" borderId="2" xfId="0" applyNumberFormat="1" applyFont="1" applyBorder="1"/>
    <xf numFmtId="0" fontId="3" fillId="3" borderId="0" xfId="0" applyFont="1" applyFill="1" applyAlignment="1">
      <alignment horizontal="left"/>
    </xf>
    <xf numFmtId="0" fontId="5" fillId="3" borderId="1" xfId="0" applyFont="1" applyFill="1" applyBorder="1"/>
    <xf numFmtId="14" fontId="6" fillId="3" borderId="1" xfId="0" applyNumberFormat="1" applyFont="1" applyFill="1" applyBorder="1" applyAlignment="1">
      <alignment horizontal="center"/>
    </xf>
    <xf numFmtId="0" fontId="6" fillId="3" borderId="1" xfId="0" applyFont="1" applyFill="1" applyBorder="1" applyAlignment="1">
      <alignment horizontal="center"/>
    </xf>
    <xf numFmtId="0" fontId="1" fillId="0" borderId="0" xfId="3"/>
  </cellXfs>
  <cellStyles count="4">
    <cellStyle name="Comma" xfId="1" builtinId="3"/>
    <cellStyle name="Normal" xfId="0" builtinId="0"/>
    <cellStyle name="Normal 2 5" xfId="3" xr:uid="{C61B410E-3558-E340-8CBF-435FE3CDE14F}"/>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279400</xdr:colOff>
      <xdr:row>36</xdr:row>
      <xdr:rowOff>25400</xdr:rowOff>
    </xdr:to>
    <xdr:sp macro="" textlink="">
      <xdr:nvSpPr>
        <xdr:cNvPr id="2" name="TextBox 1">
          <a:extLst>
            <a:ext uri="{FF2B5EF4-FFF2-40B4-BE49-F238E27FC236}">
              <a16:creationId xmlns:a16="http://schemas.microsoft.com/office/drawing/2014/main" id="{1EB3C626-0886-3245-AF59-79F7A4931F4F}"/>
            </a:ext>
          </a:extLst>
        </xdr:cNvPr>
        <xdr:cNvSpPr txBox="1"/>
      </xdr:nvSpPr>
      <xdr:spPr>
        <a:xfrm>
          <a:off x="0" y="0"/>
          <a:ext cx="12763500" cy="734060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3600" b="1" u="sng">
              <a:solidFill>
                <a:schemeClr val="dk1"/>
              </a:solidFill>
              <a:effectLst/>
              <a:latin typeface="+mn-lt"/>
              <a:ea typeface="+mn-ea"/>
              <a:cs typeface="+mn-cs"/>
            </a:rPr>
            <a:t>Berkshire</a:t>
          </a:r>
          <a:r>
            <a:rPr lang="en-US" sz="3600" b="1" u="sng" baseline="0">
              <a:solidFill>
                <a:schemeClr val="dk1"/>
              </a:solidFill>
              <a:effectLst/>
              <a:latin typeface="+mn-lt"/>
              <a:ea typeface="+mn-ea"/>
              <a:cs typeface="+mn-cs"/>
            </a:rPr>
            <a:t> Hathaway MSR Group Data</a:t>
          </a:r>
          <a:endParaRPr lang="en-US" sz="3600" b="1" u="sng">
            <a:solidFill>
              <a:schemeClr val="dk1"/>
            </a:solidFill>
            <a:effectLst/>
            <a:latin typeface="+mn-lt"/>
            <a:ea typeface="+mn-ea"/>
            <a:cs typeface="+mn-cs"/>
          </a:endParaRPr>
        </a:p>
        <a:p>
          <a:endParaRPr lang="en-US" sz="1800" b="1" u="sng">
            <a:solidFill>
              <a:schemeClr val="dk1"/>
            </a:solidFill>
            <a:effectLst/>
            <a:latin typeface="+mn-lt"/>
            <a:ea typeface="+mn-ea"/>
            <a:cs typeface="+mn-cs"/>
          </a:endParaRPr>
        </a:p>
        <a:p>
          <a:r>
            <a:rPr lang="en-US" sz="2000" b="1" u="none">
              <a:solidFill>
                <a:schemeClr val="dk1"/>
              </a:solidFill>
              <a:effectLst/>
              <a:latin typeface="+mn-lt"/>
              <a:ea typeface="+mn-ea"/>
              <a:cs typeface="+mn-cs"/>
            </a:rPr>
            <a:t>Date of Publication: November 8, 2023</a:t>
          </a:r>
          <a:endParaRPr lang="en-US" sz="2000" b="1" u="none" baseline="0">
            <a:solidFill>
              <a:schemeClr val="dk1"/>
            </a:solidFill>
            <a:effectLst/>
            <a:latin typeface="+mn-lt"/>
            <a:ea typeface="+mn-ea"/>
            <a:cs typeface="+mn-cs"/>
          </a:endParaRPr>
        </a:p>
        <a:p>
          <a:endParaRPr lang="en-US" sz="1800" b="1" u="none" baseline="0">
            <a:solidFill>
              <a:schemeClr val="dk1"/>
            </a:solidFill>
            <a:effectLst/>
            <a:latin typeface="+mn-lt"/>
            <a:ea typeface="+mn-ea"/>
            <a:cs typeface="+mn-cs"/>
          </a:endParaRPr>
        </a:p>
        <a:p>
          <a:r>
            <a:rPr lang="en-US" sz="2000" b="1" u="sng" baseline="0">
              <a:solidFill>
                <a:schemeClr val="dk1"/>
              </a:solidFill>
              <a:effectLst/>
              <a:latin typeface="+mn-lt"/>
              <a:ea typeface="+mn-ea"/>
              <a:cs typeface="+mn-cs"/>
            </a:rPr>
            <a:t>TERMS OF USE</a:t>
          </a:r>
          <a:endParaRPr lang="en-US" sz="2000" b="1" u="sng">
            <a:solidFill>
              <a:schemeClr val="dk1"/>
            </a:solidFill>
            <a:effectLst/>
            <a:latin typeface="+mn-lt"/>
            <a:ea typeface="+mn-ea"/>
            <a:cs typeface="+mn-cs"/>
          </a:endParaRPr>
        </a:p>
        <a:p>
          <a:endParaRPr lang="en-US" sz="1400" b="1">
            <a:solidFill>
              <a:schemeClr val="dk1"/>
            </a:solidFill>
            <a:effectLst/>
            <a:latin typeface="+mn-lt"/>
            <a:ea typeface="+mn-ea"/>
            <a:cs typeface="+mn-cs"/>
          </a:endParaRPr>
        </a:p>
        <a:p>
          <a:r>
            <a:rPr lang="en-US" sz="1600" b="1">
              <a:solidFill>
                <a:schemeClr val="dk1"/>
              </a:solidFill>
              <a:effectLst/>
              <a:latin typeface="+mn-lt"/>
              <a:ea typeface="+mn-ea"/>
              <a:cs typeface="+mn-cs"/>
            </a:rPr>
            <a:t>© Copyright 2023 by The Rational Walk LLC.  All rights reserved.</a:t>
          </a:r>
        </a:p>
        <a:p>
          <a:endParaRPr lang="en-US" sz="1600" b="1">
            <a:solidFill>
              <a:schemeClr val="dk1"/>
            </a:solidFill>
            <a:effectLst/>
            <a:latin typeface="+mn-lt"/>
            <a:ea typeface="+mn-ea"/>
            <a:cs typeface="+mn-cs"/>
          </a:endParaRPr>
        </a:p>
        <a:p>
          <a:r>
            <a:rPr lang="en-US" sz="1600" b="0">
              <a:solidFill>
                <a:schemeClr val="dk1"/>
              </a:solidFill>
              <a:effectLst/>
              <a:latin typeface="+mn-lt"/>
              <a:ea typeface="+mn-ea"/>
              <a:cs typeface="+mn-cs"/>
            </a:rPr>
            <a:t>This</a:t>
          </a:r>
          <a:r>
            <a:rPr lang="en-US" sz="1600" b="0" baseline="0">
              <a:solidFill>
                <a:schemeClr val="dk1"/>
              </a:solidFill>
              <a:effectLst/>
              <a:latin typeface="+mn-lt"/>
              <a:ea typeface="+mn-ea"/>
              <a:cs typeface="+mn-cs"/>
            </a:rPr>
            <a:t> spreadsheet is based on publicly available information filed with the SEC.</a:t>
          </a:r>
        </a:p>
        <a:p>
          <a:endParaRPr lang="en-US" sz="1600" b="0" baseline="0">
            <a:solidFill>
              <a:schemeClr val="dk1"/>
            </a:solidFill>
            <a:effectLst/>
            <a:latin typeface="+mn-lt"/>
            <a:ea typeface="+mn-ea"/>
            <a:cs typeface="+mn-cs"/>
          </a:endParaRPr>
        </a:p>
        <a:p>
          <a:r>
            <a:rPr lang="en-US" sz="1600" b="0" baseline="0">
              <a:solidFill>
                <a:schemeClr val="dk1"/>
              </a:solidFill>
              <a:effectLst/>
              <a:latin typeface="+mn-lt"/>
              <a:ea typeface="+mn-ea"/>
              <a:cs typeface="+mn-cs"/>
            </a:rPr>
            <a:t>Although the author has endeavored to ensure the accuracy of this data, it is hand entered and </a:t>
          </a:r>
          <a:r>
            <a:rPr lang="en-US" sz="1600" b="1" baseline="0">
              <a:solidFill>
                <a:schemeClr val="dk1"/>
              </a:solidFill>
              <a:effectLst/>
              <a:latin typeface="+mn-lt"/>
              <a:ea typeface="+mn-ea"/>
              <a:cs typeface="+mn-cs"/>
            </a:rPr>
            <a:t>no assurances whatsoever </a:t>
          </a:r>
          <a:r>
            <a:rPr lang="en-US" sz="1600" b="0" baseline="0">
              <a:solidFill>
                <a:schemeClr val="dk1"/>
              </a:solidFill>
              <a:effectLst/>
              <a:latin typeface="+mn-lt"/>
              <a:ea typeface="+mn-ea"/>
              <a:cs typeface="+mn-cs"/>
            </a:rPr>
            <a:t>can be provided regarding accuracy. The information in this file may be used by readers at their own risk. </a:t>
          </a:r>
        </a:p>
        <a:p>
          <a:endParaRPr lang="en-US" sz="1600" b="1" baseline="0">
            <a:solidFill>
              <a:schemeClr val="dk1"/>
            </a:solidFill>
            <a:effectLst/>
            <a:latin typeface="+mn-lt"/>
            <a:ea typeface="+mn-ea"/>
            <a:cs typeface="+mn-cs"/>
          </a:endParaRPr>
        </a:p>
        <a:p>
          <a:r>
            <a:rPr lang="en-US" sz="1600" b="1" baseline="0">
              <a:solidFill>
                <a:schemeClr val="dk1"/>
              </a:solidFill>
              <a:effectLst/>
              <a:latin typeface="+mn-lt"/>
              <a:ea typeface="+mn-ea"/>
              <a:cs typeface="+mn-cs"/>
            </a:rPr>
            <a:t>This file is a benefit for paid subscribers of The Rational Walk. Please do not redistribute the file to non-subscribers.</a:t>
          </a:r>
          <a:endParaRPr lang="en-US" sz="1600" b="1">
            <a:solidFill>
              <a:schemeClr val="dk1"/>
            </a:solidFill>
            <a:effectLst/>
            <a:latin typeface="+mn-lt"/>
            <a:ea typeface="+mn-ea"/>
            <a:cs typeface="+mn-cs"/>
          </a:endParaRPr>
        </a:p>
        <a:p>
          <a:r>
            <a:rPr lang="en-US" sz="1600" b="1">
              <a:solidFill>
                <a:schemeClr val="dk1"/>
              </a:solidFill>
              <a:effectLst/>
              <a:latin typeface="+mn-lt"/>
              <a:ea typeface="+mn-ea"/>
              <a:cs typeface="+mn-cs"/>
            </a:rPr>
            <a:t>   </a:t>
          </a:r>
          <a:endParaRPr lang="en-US" sz="1600">
            <a:solidFill>
              <a:schemeClr val="dk1"/>
            </a:solidFill>
            <a:effectLst/>
            <a:latin typeface="+mn-lt"/>
            <a:ea typeface="+mn-ea"/>
            <a:cs typeface="+mn-cs"/>
          </a:endParaRPr>
        </a:p>
        <a:p>
          <a:r>
            <a:rPr lang="en-US" sz="1600" b="1">
              <a:solidFill>
                <a:schemeClr val="dk1"/>
              </a:solidFill>
              <a:effectLst/>
              <a:latin typeface="+mn-lt"/>
              <a:ea typeface="+mn-ea"/>
              <a:cs typeface="+mn-cs"/>
            </a:rPr>
            <a:t>The Rational Walk LLC is not a registered investment advisor.</a:t>
          </a:r>
          <a:r>
            <a:rPr lang="en-US" sz="1600">
              <a:solidFill>
                <a:schemeClr val="dk1"/>
              </a:solidFill>
              <a:effectLst/>
              <a:latin typeface="+mn-lt"/>
              <a:ea typeface="+mn-ea"/>
              <a:cs typeface="+mn-cs"/>
            </a:rPr>
            <a:t> Please consult with your own investment advisor before buying or selling any securities. This report is not investment advice nor is it a recommendation to buy or sell securities. </a:t>
          </a:r>
        </a:p>
        <a:p>
          <a:r>
            <a:rPr lang="en-US" sz="1600">
              <a:solidFill>
                <a:schemeClr val="dk1"/>
              </a:solidFill>
              <a:effectLst/>
              <a:latin typeface="+mn-lt"/>
              <a:ea typeface="+mn-ea"/>
              <a:cs typeface="+mn-cs"/>
            </a:rPr>
            <a:t>  </a:t>
          </a:r>
        </a:p>
        <a:p>
          <a:r>
            <a:rPr lang="en-US" sz="1600">
              <a:solidFill>
                <a:schemeClr val="dk1"/>
              </a:solidFill>
              <a:effectLst/>
              <a:latin typeface="+mn-lt"/>
              <a:ea typeface="+mn-ea"/>
              <a:cs typeface="+mn-cs"/>
            </a:rPr>
            <a:t>At the date note</a:t>
          </a:r>
          <a:r>
            <a:rPr lang="en-US" sz="1600" baseline="0">
              <a:solidFill>
                <a:schemeClr val="dk1"/>
              </a:solidFill>
              <a:effectLst/>
              <a:latin typeface="+mn-lt"/>
              <a:ea typeface="+mn-ea"/>
              <a:cs typeface="+mn-cs"/>
            </a:rPr>
            <a:t> above</a:t>
          </a:r>
          <a:r>
            <a:rPr lang="en-US" sz="1600">
              <a:solidFill>
                <a:schemeClr val="dk1"/>
              </a:solidFill>
              <a:effectLst/>
              <a:latin typeface="+mn-lt"/>
              <a:ea typeface="+mn-ea"/>
              <a:cs typeface="+mn-cs"/>
            </a:rPr>
            <a:t>, individuals associated with The Rational Walk LLC </a:t>
          </a:r>
          <a:r>
            <a:rPr lang="en-US" sz="1600" b="1" u="sng">
              <a:solidFill>
                <a:schemeClr val="dk1"/>
              </a:solidFill>
              <a:effectLst/>
              <a:latin typeface="+mn-lt"/>
              <a:ea typeface="+mn-ea"/>
              <a:cs typeface="+mn-cs"/>
            </a:rPr>
            <a:t>own</a:t>
          </a:r>
          <a:r>
            <a:rPr lang="en-US" sz="1600">
              <a:solidFill>
                <a:schemeClr val="dk1"/>
              </a:solidFill>
              <a:effectLst/>
              <a:latin typeface="+mn-lt"/>
              <a:ea typeface="+mn-ea"/>
              <a:cs typeface="+mn-cs"/>
            </a:rPr>
            <a:t> shares of Berkshire Hathaway</a:t>
          </a:r>
          <a:r>
            <a:rPr lang="en-US" sz="1600" baseline="0">
              <a:solidFill>
                <a:schemeClr val="dk1"/>
              </a:solidFill>
              <a:effectLst/>
              <a:latin typeface="+mn-lt"/>
              <a:ea typeface="+mn-ea"/>
              <a:cs typeface="+mn-cs"/>
            </a:rPr>
            <a:t>. The author</a:t>
          </a:r>
          <a:r>
            <a:rPr lang="en-US" sz="1600">
              <a:solidFill>
                <a:schemeClr val="dk1"/>
              </a:solidFill>
              <a:effectLst/>
              <a:latin typeface="+mn-lt"/>
              <a:ea typeface="+mn-ea"/>
              <a:cs typeface="+mn-cs"/>
            </a:rPr>
            <a:t> may buy or sell shares at any time of any security, in any quantity, and for any reason without any disclosures</a:t>
          </a:r>
          <a:r>
            <a:rPr lang="en-US" sz="1600" baseline="0">
              <a:solidFill>
                <a:schemeClr val="dk1"/>
              </a:solidFill>
              <a:effectLst/>
              <a:latin typeface="+mn-lt"/>
              <a:ea typeface="+mn-ea"/>
              <a:cs typeface="+mn-cs"/>
            </a:rPr>
            <a:t> whatsoever</a:t>
          </a:r>
          <a:r>
            <a:rPr lang="en-US" sz="1600">
              <a:solidFill>
                <a:schemeClr val="dk1"/>
              </a:solidFill>
              <a:effectLst/>
              <a:latin typeface="+mn-lt"/>
              <a:ea typeface="+mn-ea"/>
              <a:cs typeface="+mn-cs"/>
            </a:rPr>
            <a:t>.  </a:t>
          </a:r>
        </a:p>
        <a:p>
          <a:r>
            <a:rPr lang="en-US" sz="1600">
              <a:solidFill>
                <a:schemeClr val="dk1"/>
              </a:solidFill>
              <a:effectLst/>
              <a:latin typeface="+mn-lt"/>
              <a:ea typeface="+mn-ea"/>
              <a:cs typeface="+mn-cs"/>
            </a:rPr>
            <a:t>  </a:t>
          </a:r>
        </a:p>
        <a:p>
          <a:r>
            <a:rPr lang="en-US" sz="1600" b="1" u="none">
              <a:solidFill>
                <a:sysClr val="windowText" lastClr="000000"/>
              </a:solidFill>
              <a:effectLst/>
              <a:latin typeface="+mn-lt"/>
              <a:ea typeface="+mn-ea"/>
              <a:cs typeface="+mn-cs"/>
            </a:rPr>
            <a:t>The Rational Walk </a:t>
          </a:r>
          <a:r>
            <a:rPr lang="en-US" sz="1600">
              <a:solidFill>
                <a:schemeClr val="dk1"/>
              </a:solidFill>
              <a:effectLst/>
              <a:latin typeface="+mn-lt"/>
              <a:ea typeface="+mn-ea"/>
              <a:cs typeface="+mn-cs"/>
            </a:rPr>
            <a:t>was founded in 2009. Over a thousand articles have been published over the past fourteen years primarily on topics related to investing and personal finance. The Rational Walk’s extensive coverage of Berkshire Hathaway has been mentioned in several news articles.  The website may be accessed at www.rationalwalk.com.</a:t>
          </a:r>
        </a:p>
        <a:p>
          <a:endParaRPr lang="en-US" sz="1600">
            <a:solidFill>
              <a:schemeClr val="dk1"/>
            </a:solidFill>
            <a:effectLst/>
            <a:latin typeface="+mn-lt"/>
            <a:ea typeface="+mn-ea"/>
            <a:cs typeface="+mn-cs"/>
          </a:endParaRPr>
        </a:p>
        <a:p>
          <a:r>
            <a:rPr lang="en-US" sz="1600">
              <a:solidFill>
                <a:schemeClr val="dk1"/>
              </a:solidFill>
              <a:effectLst/>
              <a:latin typeface="+mn-lt"/>
              <a:ea typeface="+mn-ea"/>
              <a:cs typeface="+mn-cs"/>
            </a:rPr>
            <a:t>Please direct any inquiries regarding this publication to administrator@rationalwalk.com</a:t>
          </a:r>
          <a:endParaRPr lang="en-US" sz="16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ravi/Library/CloudStorage/Dropbox/Work/Company%20Research/Current%20Holdings/Berkshire%20Hathaway/Analysis%20-%20Quarterly/Berkshire_2023_Q3.xlsx" TargetMode="External"/><Relationship Id="rId1" Type="http://schemas.openxmlformats.org/officeDocument/2006/relationships/externalLinkPath" Target="/Users/ravi/Library/CloudStorage/Dropbox/Work/Company%20Research/Current%20Holdings/Berkshire%20Hathaway/Analysis%20-%20Quarterly/Berkshire_2023_Q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ents"/>
      <sheetName val="(1) Valuation"/>
      <sheetName val="(2) Balance Sheet"/>
      <sheetName val="(3) Income Statement"/>
      <sheetName val="(4) Cash Flow"/>
      <sheetName val="(5) Annual Summary by Segment"/>
      <sheetName val="(6) Insurance Summary"/>
      <sheetName val="(7) Float Statistics"/>
      <sheetName val="(8) Insurance Float Valuation"/>
      <sheetName val="(9) Utilities &amp; Energy Data"/>
      <sheetName val="(10) Burlington Northern Data"/>
      <sheetName val="(11) Financial Products Data"/>
      <sheetName val="(12) Manufacting, Svc, &amp; Retail"/>
      <sheetName val="(13) NetJets"/>
      <sheetName val="(14) Quarterly Data"/>
      <sheetName val="(15) GEICO vs. Progressive"/>
      <sheetName val="(16) Price to Book (Quarterly)"/>
      <sheetName val="(17) Price to Book (Daily)"/>
      <sheetName val="(18) Repurchase History"/>
      <sheetName val="(19) Share Class History"/>
      <sheetName val="(20) Director Ownership"/>
      <sheetName val="(21) Quarterly Op. Earnings"/>
      <sheetName val="(22) Quarterly MSR Group"/>
      <sheetName val="(23) GEICO - Quarterly"/>
      <sheetName val="(24) Quarterly Investing C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
          <cell r="E3" t="str">
            <v>Q4 2022</v>
          </cell>
          <cell r="F3" t="str">
            <v>Q3 2022</v>
          </cell>
          <cell r="G3" t="str">
            <v>Q2 2022</v>
          </cell>
          <cell r="H3" t="str">
            <v>Q1 2022</v>
          </cell>
          <cell r="I3" t="str">
            <v>Q4 2021</v>
          </cell>
          <cell r="J3" t="str">
            <v>Q3 2021</v>
          </cell>
          <cell r="K3" t="str">
            <v>Q2 2021</v>
          </cell>
          <cell r="L3" t="str">
            <v>Q1 2021</v>
          </cell>
          <cell r="M3" t="str">
            <v>Q4 2020</v>
          </cell>
          <cell r="N3" t="str">
            <v>Q3 2020</v>
          </cell>
          <cell r="O3" t="str">
            <v>Q2 2020</v>
          </cell>
          <cell r="P3" t="str">
            <v>Q1 2020</v>
          </cell>
          <cell r="Q3" t="str">
            <v>Q4 2019</v>
          </cell>
          <cell r="R3" t="str">
            <v>Q3 2019</v>
          </cell>
          <cell r="S3" t="str">
            <v>Q2 2019</v>
          </cell>
          <cell r="T3" t="str">
            <v>Q1 2019</v>
          </cell>
          <cell r="U3" t="str">
            <v>Q4 2018</v>
          </cell>
          <cell r="V3" t="str">
            <v>Q3 2018</v>
          </cell>
          <cell r="W3" t="str">
            <v>Q2 2018</v>
          </cell>
          <cell r="X3" t="str">
            <v>Q1 2018</v>
          </cell>
        </row>
        <row r="6">
          <cell r="A6" t="str">
            <v xml:space="preserve">  Industrial Products</v>
          </cell>
          <cell r="E6">
            <v>7912</v>
          </cell>
          <cell r="F6">
            <v>7723</v>
          </cell>
          <cell r="G6">
            <v>7714</v>
          </cell>
          <cell r="H6">
            <v>7475</v>
          </cell>
          <cell r="I6">
            <v>7126</v>
          </cell>
          <cell r="J6">
            <v>7192</v>
          </cell>
          <cell r="K6">
            <v>7186</v>
          </cell>
          <cell r="L6">
            <v>6672</v>
          </cell>
          <cell r="M6">
            <v>6347</v>
          </cell>
          <cell r="N6">
            <v>6173</v>
          </cell>
          <cell r="O6">
            <v>5789</v>
          </cell>
          <cell r="P6">
            <v>7358</v>
          </cell>
          <cell r="Q6">
            <v>7314</v>
          </cell>
          <cell r="R6">
            <v>7716</v>
          </cell>
          <cell r="S6">
            <v>7887</v>
          </cell>
          <cell r="T6">
            <v>7677</v>
          </cell>
          <cell r="U6">
            <v>7536</v>
          </cell>
          <cell r="V6">
            <v>7673</v>
          </cell>
          <cell r="W6">
            <v>7851</v>
          </cell>
          <cell r="X6">
            <v>7619</v>
          </cell>
        </row>
        <row r="7">
          <cell r="A7" t="str">
            <v xml:space="preserve">  Building Products</v>
          </cell>
          <cell r="E7">
            <v>6885</v>
          </cell>
          <cell r="F7">
            <v>7589</v>
          </cell>
          <cell r="G7">
            <v>7710</v>
          </cell>
          <cell r="H7">
            <v>6712</v>
          </cell>
          <cell r="I7">
            <v>6570</v>
          </cell>
          <cell r="J7">
            <v>6374</v>
          </cell>
          <cell r="K7">
            <v>6402</v>
          </cell>
          <cell r="L7">
            <v>5628</v>
          </cell>
          <cell r="M7">
            <v>5747</v>
          </cell>
          <cell r="N7">
            <v>5672</v>
          </cell>
          <cell r="O7">
            <v>4968</v>
          </cell>
          <cell r="P7">
            <v>4857</v>
          </cell>
          <cell r="Q7">
            <v>5115</v>
          </cell>
          <cell r="R7">
            <v>5281</v>
          </cell>
          <cell r="S7">
            <v>5369</v>
          </cell>
          <cell r="T7">
            <v>4562</v>
          </cell>
          <cell r="U7">
            <v>4778</v>
          </cell>
          <cell r="V7">
            <v>4969</v>
          </cell>
          <cell r="W7">
            <v>4850</v>
          </cell>
          <cell r="X7">
            <v>4080</v>
          </cell>
        </row>
        <row r="8">
          <cell r="A8" t="str">
            <v xml:space="preserve">  Consumer Products</v>
          </cell>
          <cell r="E8">
            <v>3791</v>
          </cell>
          <cell r="F8">
            <v>3688</v>
          </cell>
          <cell r="G8">
            <v>4348</v>
          </cell>
          <cell r="H8">
            <v>4234</v>
          </cell>
          <cell r="I8">
            <v>4213</v>
          </cell>
          <cell r="J8">
            <v>3930</v>
          </cell>
          <cell r="K8">
            <v>3824</v>
          </cell>
          <cell r="L8">
            <v>3613</v>
          </cell>
          <cell r="M8">
            <v>3747</v>
          </cell>
          <cell r="N8">
            <v>3325</v>
          </cell>
          <cell r="O8">
            <v>2276</v>
          </cell>
          <cell r="P8">
            <v>2820</v>
          </cell>
          <cell r="Q8">
            <v>3128</v>
          </cell>
          <cell r="R8">
            <v>2900</v>
          </cell>
          <cell r="S8">
            <v>2950</v>
          </cell>
          <cell r="T8">
            <v>2831</v>
          </cell>
          <cell r="U8">
            <v>3234</v>
          </cell>
          <cell r="V8">
            <v>3044</v>
          </cell>
          <cell r="W8">
            <v>3226</v>
          </cell>
          <cell r="X8">
            <v>3023</v>
          </cell>
        </row>
        <row r="31">
          <cell r="A31" t="str">
            <v>Net Earnings</v>
          </cell>
          <cell r="B31">
            <v>3341</v>
          </cell>
          <cell r="C31">
            <v>3389</v>
          </cell>
          <cell r="D31">
            <v>2982</v>
          </cell>
          <cell r="E31">
            <v>2991</v>
          </cell>
          <cell r="F31">
            <v>3247</v>
          </cell>
          <cell r="G31">
            <v>3249</v>
          </cell>
          <cell r="H31">
            <v>3025</v>
          </cell>
          <cell r="I31">
            <v>2791</v>
          </cell>
          <cell r="J31">
            <v>2706</v>
          </cell>
          <cell r="K31">
            <v>3004</v>
          </cell>
          <cell r="L31">
            <v>2619</v>
          </cell>
          <cell r="M31">
            <v>2467</v>
          </cell>
          <cell r="N31">
            <v>2346</v>
          </cell>
          <cell r="O31">
            <v>1449</v>
          </cell>
          <cell r="P31">
            <v>2038</v>
          </cell>
          <cell r="Q31">
            <v>2230</v>
          </cell>
          <cell r="R31">
            <v>2455</v>
          </cell>
          <cell r="S31">
            <v>2487</v>
          </cell>
          <cell r="T31">
            <v>2200</v>
          </cell>
          <cell r="U31">
            <v>2340</v>
          </cell>
          <cell r="V31">
            <v>2411</v>
          </cell>
          <cell r="W31">
            <v>2486</v>
          </cell>
          <cell r="X31">
            <v>2127</v>
          </cell>
        </row>
        <row r="33">
          <cell r="B33" t="str">
            <v>Q3 2023</v>
          </cell>
          <cell r="C33" t="str">
            <v>Q2 2023</v>
          </cell>
          <cell r="D33" t="str">
            <v>Q1 2023</v>
          </cell>
          <cell r="E33" t="str">
            <v>Q4 2022</v>
          </cell>
          <cell r="F33" t="str">
            <v>Q3 2022</v>
          </cell>
          <cell r="G33" t="str">
            <v>Q2 2022</v>
          </cell>
          <cell r="H33" t="str">
            <v>Q1 2022</v>
          </cell>
          <cell r="I33" t="str">
            <v>Q4 2021</v>
          </cell>
          <cell r="J33" t="str">
            <v>Q3 2021</v>
          </cell>
          <cell r="K33" t="str">
            <v>Q2 2021</v>
          </cell>
          <cell r="L33" t="str">
            <v>Q1 2021</v>
          </cell>
          <cell r="M33" t="str">
            <v>Q4 2020</v>
          </cell>
          <cell r="N33" t="str">
            <v>Q3 2020</v>
          </cell>
          <cell r="O33" t="str">
            <v>Q2 2020</v>
          </cell>
          <cell r="P33" t="str">
            <v>Q1 2020</v>
          </cell>
          <cell r="Q33" t="str">
            <v>Q4 2019</v>
          </cell>
          <cell r="R33" t="str">
            <v>Q3 2019</v>
          </cell>
          <cell r="S33" t="str">
            <v>Q2 2019</v>
          </cell>
          <cell r="T33" t="str">
            <v>Q1 2019</v>
          </cell>
          <cell r="U33" t="str">
            <v>Q4 2018</v>
          </cell>
          <cell r="V33" t="str">
            <v>Q3 2018</v>
          </cell>
          <cell r="W33" t="str">
            <v>Q2 2018</v>
          </cell>
          <cell r="X33" t="str">
            <v>Q1 2018</v>
          </cell>
        </row>
        <row r="46">
          <cell r="A46" t="str">
            <v>Pre-Tax Earnings as a percentage of revenues</v>
          </cell>
          <cell r="B46">
            <v>0.10280066671361833</v>
          </cell>
          <cell r="C46">
            <v>0.10667996011964108</v>
          </cell>
          <cell r="D46">
            <v>9.5569175609874268E-2</v>
          </cell>
          <cell r="E46">
            <v>8.6632905429278054E-2</v>
          </cell>
          <cell r="F46">
            <v>9.9606037592557428E-2</v>
          </cell>
          <cell r="G46">
            <v>0.10088860753557947</v>
          </cell>
          <cell r="H46">
            <v>0.10089635714464058</v>
          </cell>
          <cell r="I46">
            <v>8.8493807431082705E-2</v>
          </cell>
          <cell r="J46">
            <v>9.1448165622502381E-2</v>
          </cell>
          <cell r="K46">
            <v>0.10298831558266984</v>
          </cell>
          <cell r="L46">
            <v>9.7962978615501642E-2</v>
          </cell>
          <cell r="M46">
            <v>8.9388306860425815E-2</v>
          </cell>
          <cell r="N46">
            <v>9.0753573603177831E-2</v>
          </cell>
          <cell r="O46">
            <v>6.1113312202852613E-2</v>
          </cell>
          <cell r="P46">
            <v>8.0858866674553415E-2</v>
          </cell>
          <cell r="Q46">
            <v>8.058095159651868E-2</v>
          </cell>
          <cell r="R46">
            <v>8.8436132556648742E-2</v>
          </cell>
          <cell r="S46">
            <v>9.2325175309736968E-2</v>
          </cell>
          <cell r="T46">
            <v>8.5321047413541726E-2</v>
          </cell>
          <cell r="U46">
            <v>8.393117363524269E-2</v>
          </cell>
          <cell r="V46">
            <v>8.7134142929095076E-2</v>
          </cell>
          <cell r="W46">
            <v>9.4192535262611815E-2</v>
          </cell>
          <cell r="X46">
            <v>8.420802941350887E-2</v>
          </cell>
        </row>
      </sheetData>
      <sheetData sheetId="23"/>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E5655-3103-F147-B0D4-5C8494B7596A}">
  <sheetPr>
    <tabColor rgb="FF00B050"/>
    <pageSetUpPr fitToPage="1"/>
  </sheetPr>
  <dimension ref="A1"/>
  <sheetViews>
    <sheetView tabSelected="1" zoomScaleNormal="100" workbookViewId="0">
      <selection activeCell="E45" sqref="E45"/>
    </sheetView>
  </sheetViews>
  <sheetFormatPr baseColWidth="10" defaultRowHeight="16" x14ac:dyDescent="0.2"/>
  <cols>
    <col min="1" max="4" width="10.83203125" style="23"/>
    <col min="5" max="5" width="12.1640625" style="23" bestFit="1" customWidth="1"/>
    <col min="6" max="16384" width="10.83203125" style="23"/>
  </cols>
  <sheetData/>
  <pageMargins left="0.7" right="0.7" top="0.75" bottom="0.75" header="0.3" footer="0.3"/>
  <pageSetup scale="49"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497AA-4659-B446-B107-8AF327888364}">
  <dimension ref="A1:X98"/>
  <sheetViews>
    <sheetView zoomScale="90" zoomScaleNormal="90" workbookViewId="0">
      <selection sqref="A1:C1"/>
    </sheetView>
  </sheetViews>
  <sheetFormatPr baseColWidth="10" defaultRowHeight="19" x14ac:dyDescent="0.25"/>
  <cols>
    <col min="1" max="1" width="55.6640625" style="2" bestFit="1" customWidth="1"/>
    <col min="2" max="20" width="11" style="2" customWidth="1"/>
    <col min="21" max="16384" width="10.83203125" style="2"/>
  </cols>
  <sheetData>
    <row r="1" spans="1:24" ht="24" x14ac:dyDescent="0.3">
      <c r="A1" s="19" t="s">
        <v>48</v>
      </c>
      <c r="B1" s="19"/>
      <c r="C1" s="19"/>
      <c r="D1" s="1"/>
    </row>
    <row r="2" spans="1:24" x14ac:dyDescent="0.25">
      <c r="A2" s="3" t="s">
        <v>0</v>
      </c>
    </row>
    <row r="3" spans="1:24" x14ac:dyDescent="0.25">
      <c r="A3" s="20" t="s">
        <v>1</v>
      </c>
      <c r="B3" s="21" t="s">
        <v>2</v>
      </c>
      <c r="C3" s="21" t="s">
        <v>3</v>
      </c>
      <c r="D3" s="21" t="s">
        <v>4</v>
      </c>
      <c r="E3" s="21" t="s">
        <v>5</v>
      </c>
      <c r="F3" s="21" t="s">
        <v>6</v>
      </c>
      <c r="G3" s="21" t="s">
        <v>7</v>
      </c>
      <c r="H3" s="21" t="s">
        <v>8</v>
      </c>
      <c r="I3" s="22" t="s">
        <v>9</v>
      </c>
      <c r="J3" s="22" t="s">
        <v>10</v>
      </c>
      <c r="K3" s="22" t="s">
        <v>11</v>
      </c>
      <c r="L3" s="22" t="s">
        <v>12</v>
      </c>
      <c r="M3" s="22" t="s">
        <v>13</v>
      </c>
      <c r="N3" s="22" t="s">
        <v>14</v>
      </c>
      <c r="O3" s="22" t="s">
        <v>15</v>
      </c>
      <c r="P3" s="22" t="s">
        <v>16</v>
      </c>
      <c r="Q3" s="22" t="s">
        <v>17</v>
      </c>
      <c r="R3" s="22" t="s">
        <v>18</v>
      </c>
      <c r="S3" s="22" t="s">
        <v>19</v>
      </c>
      <c r="T3" s="22" t="s">
        <v>20</v>
      </c>
      <c r="U3" s="22" t="s">
        <v>21</v>
      </c>
      <c r="V3" s="22" t="s">
        <v>22</v>
      </c>
      <c r="W3" s="22" t="s">
        <v>23</v>
      </c>
      <c r="X3" s="22" t="s">
        <v>24</v>
      </c>
    </row>
    <row r="4" spans="1:24" x14ac:dyDescent="0.25">
      <c r="A4" s="4" t="s">
        <v>25</v>
      </c>
      <c r="B4" s="5"/>
      <c r="C4" s="5"/>
      <c r="D4" s="5"/>
      <c r="E4" s="5"/>
      <c r="F4" s="5"/>
      <c r="G4" s="5"/>
      <c r="H4" s="5"/>
      <c r="I4" s="5"/>
      <c r="J4" s="5"/>
      <c r="K4" s="5"/>
      <c r="L4" s="5"/>
      <c r="M4" s="5"/>
      <c r="N4" s="5"/>
      <c r="O4" s="5"/>
      <c r="P4" s="5"/>
      <c r="Q4" s="5"/>
      <c r="R4" s="5"/>
      <c r="S4" s="5"/>
      <c r="T4" s="5"/>
      <c r="U4" s="5"/>
      <c r="V4" s="5"/>
      <c r="W4" s="5"/>
      <c r="X4" s="5"/>
    </row>
    <row r="5" spans="1:24" x14ac:dyDescent="0.25">
      <c r="A5" s="4" t="s">
        <v>26</v>
      </c>
      <c r="B5" s="5"/>
      <c r="C5" s="5"/>
      <c r="D5" s="5"/>
      <c r="E5" s="5"/>
      <c r="F5" s="5"/>
      <c r="G5" s="5"/>
      <c r="H5" s="5"/>
      <c r="I5" s="5"/>
      <c r="J5" s="5"/>
      <c r="K5" s="5"/>
      <c r="L5" s="5"/>
      <c r="M5" s="5"/>
      <c r="N5" s="5"/>
      <c r="O5" s="5"/>
      <c r="P5" s="5"/>
      <c r="Q5" s="5"/>
      <c r="R5" s="5"/>
      <c r="S5" s="5"/>
      <c r="T5" s="5"/>
      <c r="U5" s="5"/>
      <c r="V5" s="5"/>
      <c r="W5" s="5"/>
      <c r="X5" s="5"/>
    </row>
    <row r="6" spans="1:24" x14ac:dyDescent="0.25">
      <c r="A6" s="2" t="s">
        <v>27</v>
      </c>
      <c r="B6" s="5">
        <v>8667</v>
      </c>
      <c r="C6" s="5">
        <v>8876</v>
      </c>
      <c r="D6" s="5">
        <v>8863</v>
      </c>
      <c r="E6" s="5">
        <f>30824-SUM(F6:H6)</f>
        <v>7912</v>
      </c>
      <c r="F6" s="5">
        <v>7723</v>
      </c>
      <c r="G6" s="5">
        <v>7714</v>
      </c>
      <c r="H6" s="5">
        <v>7475</v>
      </c>
      <c r="I6" s="5">
        <f>28176-21050</f>
        <v>7126</v>
      </c>
      <c r="J6" s="5">
        <v>7192</v>
      </c>
      <c r="K6" s="5">
        <v>7186</v>
      </c>
      <c r="L6" s="5">
        <v>6672</v>
      </c>
      <c r="M6" s="5">
        <f>25667-19320</f>
        <v>6347</v>
      </c>
      <c r="N6" s="5">
        <v>6173</v>
      </c>
      <c r="O6" s="5">
        <v>5789</v>
      </c>
      <c r="P6" s="5">
        <v>7358</v>
      </c>
      <c r="Q6" s="5">
        <f>30594-23280</f>
        <v>7314</v>
      </c>
      <c r="R6" s="5">
        <v>7716</v>
      </c>
      <c r="S6" s="5">
        <v>7887</v>
      </c>
      <c r="T6" s="5">
        <v>7677</v>
      </c>
      <c r="U6" s="5">
        <f>30679-23143</f>
        <v>7536</v>
      </c>
      <c r="V6" s="5">
        <v>7673</v>
      </c>
      <c r="W6" s="5">
        <v>7851</v>
      </c>
      <c r="X6" s="5">
        <v>7619</v>
      </c>
    </row>
    <row r="7" spans="1:24" x14ac:dyDescent="0.25">
      <c r="A7" s="2" t="s">
        <v>28</v>
      </c>
      <c r="B7" s="5">
        <v>6739</v>
      </c>
      <c r="C7" s="5">
        <v>6693</v>
      </c>
      <c r="D7" s="5">
        <v>6010</v>
      </c>
      <c r="E7" s="5">
        <f>28896-SUM(F7:H7)</f>
        <v>6885</v>
      </c>
      <c r="F7" s="5">
        <v>7589</v>
      </c>
      <c r="G7" s="5">
        <v>7710</v>
      </c>
      <c r="H7" s="5">
        <v>6712</v>
      </c>
      <c r="I7" s="5">
        <f>24974-18404</f>
        <v>6570</v>
      </c>
      <c r="J7" s="5">
        <v>6374</v>
      </c>
      <c r="K7" s="5">
        <v>6402</v>
      </c>
      <c r="L7" s="5">
        <v>5628</v>
      </c>
      <c r="M7" s="5">
        <f>21244-15497</f>
        <v>5747</v>
      </c>
      <c r="N7" s="5">
        <v>5672</v>
      </c>
      <c r="O7" s="5">
        <v>4968</v>
      </c>
      <c r="P7" s="5">
        <v>4857</v>
      </c>
      <c r="Q7" s="5">
        <f>20327-15212</f>
        <v>5115</v>
      </c>
      <c r="R7" s="5">
        <v>5281</v>
      </c>
      <c r="S7" s="5">
        <v>5369</v>
      </c>
      <c r="T7" s="5">
        <v>4562</v>
      </c>
      <c r="U7" s="5">
        <f>18677-13899</f>
        <v>4778</v>
      </c>
      <c r="V7" s="5">
        <v>4969</v>
      </c>
      <c r="W7" s="5">
        <v>4850</v>
      </c>
      <c r="X7" s="5">
        <v>4080</v>
      </c>
    </row>
    <row r="8" spans="1:24" x14ac:dyDescent="0.25">
      <c r="A8" s="2" t="s">
        <v>29</v>
      </c>
      <c r="B8" s="5">
        <v>3768</v>
      </c>
      <c r="C8" s="5">
        <v>3533</v>
      </c>
      <c r="D8" s="5">
        <v>3416</v>
      </c>
      <c r="E8" s="5">
        <f>16061-SUM(F8:H8)</f>
        <v>3791</v>
      </c>
      <c r="F8" s="5">
        <v>3688</v>
      </c>
      <c r="G8" s="5">
        <v>4348</v>
      </c>
      <c r="H8" s="5">
        <v>4234</v>
      </c>
      <c r="I8" s="5">
        <f>15580-11367</f>
        <v>4213</v>
      </c>
      <c r="J8" s="5">
        <v>3930</v>
      </c>
      <c r="K8" s="5">
        <v>3824</v>
      </c>
      <c r="L8" s="5">
        <v>3613</v>
      </c>
      <c r="M8" s="5">
        <f>12168-8421</f>
        <v>3747</v>
      </c>
      <c r="N8" s="5">
        <v>3325</v>
      </c>
      <c r="O8" s="5">
        <v>2276</v>
      </c>
      <c r="P8" s="5">
        <v>2820</v>
      </c>
      <c r="Q8" s="5">
        <f>11809-8681</f>
        <v>3128</v>
      </c>
      <c r="R8" s="5">
        <v>2900</v>
      </c>
      <c r="S8" s="5">
        <v>2950</v>
      </c>
      <c r="T8" s="5">
        <v>2831</v>
      </c>
      <c r="U8" s="5">
        <f>12527-9293</f>
        <v>3234</v>
      </c>
      <c r="V8" s="5">
        <v>3044</v>
      </c>
      <c r="W8" s="5">
        <v>3226</v>
      </c>
      <c r="X8" s="5">
        <v>3023</v>
      </c>
    </row>
    <row r="9" spans="1:24" x14ac:dyDescent="0.25">
      <c r="A9" s="4" t="s">
        <v>30</v>
      </c>
      <c r="B9" s="6">
        <f t="shared" ref="B9:G9" si="0">SUM(B6:B8)</f>
        <v>19174</v>
      </c>
      <c r="C9" s="6">
        <f t="shared" si="0"/>
        <v>19102</v>
      </c>
      <c r="D9" s="6">
        <f t="shared" si="0"/>
        <v>18289</v>
      </c>
      <c r="E9" s="6">
        <f t="shared" si="0"/>
        <v>18588</v>
      </c>
      <c r="F9" s="6">
        <f t="shared" si="0"/>
        <v>19000</v>
      </c>
      <c r="G9" s="6">
        <f t="shared" si="0"/>
        <v>19772</v>
      </c>
      <c r="H9" s="6">
        <f t="shared" ref="H9:X9" si="1">SUM(H6:H8)</f>
        <v>18421</v>
      </c>
      <c r="I9" s="6">
        <f t="shared" si="1"/>
        <v>17909</v>
      </c>
      <c r="J9" s="6">
        <f t="shared" si="1"/>
        <v>17496</v>
      </c>
      <c r="K9" s="6">
        <f t="shared" si="1"/>
        <v>17412</v>
      </c>
      <c r="L9" s="6">
        <f t="shared" si="1"/>
        <v>15913</v>
      </c>
      <c r="M9" s="6">
        <f t="shared" si="1"/>
        <v>15841</v>
      </c>
      <c r="N9" s="6">
        <f t="shared" si="1"/>
        <v>15170</v>
      </c>
      <c r="O9" s="6">
        <f t="shared" si="1"/>
        <v>13033</v>
      </c>
      <c r="P9" s="6">
        <f t="shared" si="1"/>
        <v>15035</v>
      </c>
      <c r="Q9" s="6">
        <f t="shared" si="1"/>
        <v>15557</v>
      </c>
      <c r="R9" s="6">
        <f t="shared" si="1"/>
        <v>15897</v>
      </c>
      <c r="S9" s="6">
        <f t="shared" si="1"/>
        <v>16206</v>
      </c>
      <c r="T9" s="6">
        <f t="shared" si="1"/>
        <v>15070</v>
      </c>
      <c r="U9" s="6">
        <f t="shared" si="1"/>
        <v>15548</v>
      </c>
      <c r="V9" s="6">
        <f t="shared" si="1"/>
        <v>15686</v>
      </c>
      <c r="W9" s="6">
        <f t="shared" si="1"/>
        <v>15927</v>
      </c>
      <c r="X9" s="6">
        <f t="shared" si="1"/>
        <v>14722</v>
      </c>
    </row>
    <row r="10" spans="1:24" x14ac:dyDescent="0.25">
      <c r="A10" s="4" t="s">
        <v>31</v>
      </c>
      <c r="B10" s="5"/>
      <c r="C10" s="5"/>
      <c r="D10" s="5"/>
      <c r="E10" s="5"/>
      <c r="F10" s="5"/>
      <c r="G10" s="5"/>
      <c r="H10" s="5"/>
      <c r="I10" s="5"/>
      <c r="J10" s="5"/>
      <c r="K10" s="5"/>
      <c r="L10" s="5"/>
      <c r="M10" s="5"/>
      <c r="N10" s="5"/>
      <c r="O10" s="5"/>
      <c r="P10" s="5"/>
      <c r="Q10" s="5"/>
      <c r="R10" s="5"/>
      <c r="S10" s="5"/>
      <c r="T10" s="5"/>
      <c r="U10" s="5"/>
      <c r="V10" s="5"/>
      <c r="W10" s="5"/>
      <c r="X10" s="5"/>
    </row>
    <row r="11" spans="1:24" x14ac:dyDescent="0.25">
      <c r="A11" s="2" t="s">
        <v>32</v>
      </c>
      <c r="B11" s="5">
        <v>5100</v>
      </c>
      <c r="C11" s="5">
        <v>5181</v>
      </c>
      <c r="D11" s="5">
        <v>5319</v>
      </c>
      <c r="E11" s="5">
        <f>19006-SUM(F11:H11)</f>
        <v>4975</v>
      </c>
      <c r="F11" s="5">
        <v>4771</v>
      </c>
      <c r="G11" s="5">
        <v>4737</v>
      </c>
      <c r="H11" s="5">
        <v>4523</v>
      </c>
      <c r="I11" s="5">
        <f>15872-11718</f>
        <v>4154</v>
      </c>
      <c r="J11" s="5">
        <v>4131</v>
      </c>
      <c r="K11" s="5">
        <v>3982</v>
      </c>
      <c r="L11" s="5">
        <v>3605</v>
      </c>
      <c r="M11" s="5">
        <f>12346-9093</f>
        <v>3253</v>
      </c>
      <c r="N11" s="5">
        <v>3068</v>
      </c>
      <c r="O11" s="5">
        <v>2667</v>
      </c>
      <c r="P11" s="5">
        <v>3358</v>
      </c>
      <c r="Q11" s="5">
        <f>13496-10195</f>
        <v>3301</v>
      </c>
      <c r="R11" s="5">
        <v>3341</v>
      </c>
      <c r="S11" s="5">
        <v>3436</v>
      </c>
      <c r="T11" s="5">
        <v>3418</v>
      </c>
      <c r="U11" s="5">
        <f>13333-9948</f>
        <v>3385</v>
      </c>
      <c r="V11" s="5">
        <v>3397</v>
      </c>
      <c r="W11" s="5">
        <v>3378</v>
      </c>
      <c r="X11" s="5">
        <v>3173</v>
      </c>
    </row>
    <row r="12" spans="1:24" x14ac:dyDescent="0.25">
      <c r="A12" s="2" t="s">
        <v>33</v>
      </c>
      <c r="B12" s="5">
        <v>4846</v>
      </c>
      <c r="C12" s="5">
        <v>4960</v>
      </c>
      <c r="D12" s="5">
        <v>4612</v>
      </c>
      <c r="E12" s="5">
        <f>19297-SUM(F12:H12)</f>
        <v>5029</v>
      </c>
      <c r="F12" s="5">
        <v>4796</v>
      </c>
      <c r="G12" s="5">
        <v>4880</v>
      </c>
      <c r="H12" s="5">
        <v>4592</v>
      </c>
      <c r="I12" s="5">
        <f>18960-13896</f>
        <v>5064</v>
      </c>
      <c r="J12" s="5">
        <v>4548</v>
      </c>
      <c r="K12" s="5">
        <v>4995</v>
      </c>
      <c r="L12" s="5">
        <v>4353</v>
      </c>
      <c r="M12" s="5">
        <f>15832-11179</f>
        <v>4653</v>
      </c>
      <c r="N12" s="5">
        <v>4211</v>
      </c>
      <c r="O12" s="5">
        <v>3370</v>
      </c>
      <c r="P12" s="5">
        <v>3598</v>
      </c>
      <c r="Q12" s="5">
        <f>15991-11670</f>
        <v>4321</v>
      </c>
      <c r="R12" s="5">
        <v>4037</v>
      </c>
      <c r="S12" s="5">
        <v>4026</v>
      </c>
      <c r="T12" s="5">
        <v>3607</v>
      </c>
      <c r="U12" s="5">
        <f>15606-11404</f>
        <v>4202</v>
      </c>
      <c r="V12" s="5">
        <v>3833</v>
      </c>
      <c r="W12" s="5">
        <v>3929</v>
      </c>
      <c r="X12" s="5">
        <v>3642</v>
      </c>
    </row>
    <row r="13" spans="1:24" x14ac:dyDescent="0.25">
      <c r="A13" s="2" t="s">
        <v>34</v>
      </c>
      <c r="B13" s="5">
        <v>13477</v>
      </c>
      <c r="C13" s="5">
        <v>12883</v>
      </c>
      <c r="D13" s="5">
        <v>13059</v>
      </c>
      <c r="E13" s="5">
        <f>53209-SUM(F13:H13)</f>
        <v>13863</v>
      </c>
      <c r="F13" s="5">
        <v>13569</v>
      </c>
      <c r="G13" s="5">
        <v>13262</v>
      </c>
      <c r="H13" s="5">
        <v>12515</v>
      </c>
      <c r="I13" s="5">
        <f>49450-36529</f>
        <v>12921</v>
      </c>
      <c r="J13" s="5">
        <v>12612</v>
      </c>
      <c r="K13" s="5">
        <v>12295</v>
      </c>
      <c r="L13" s="5">
        <v>11622</v>
      </c>
      <c r="M13" s="5">
        <f>46840-35079</f>
        <v>11761</v>
      </c>
      <c r="N13" s="5">
        <v>12040</v>
      </c>
      <c r="O13" s="5">
        <v>11218</v>
      </c>
      <c r="P13" s="5">
        <v>11821</v>
      </c>
      <c r="Q13" s="5">
        <f>50458-37214</f>
        <v>13244</v>
      </c>
      <c r="R13" s="5">
        <v>12604</v>
      </c>
      <c r="S13" s="5">
        <v>12411</v>
      </c>
      <c r="T13" s="5">
        <v>12199</v>
      </c>
      <c r="U13" s="5">
        <f>49987-37438</f>
        <v>12549</v>
      </c>
      <c r="V13" s="5">
        <v>12822</v>
      </c>
      <c r="W13" s="5">
        <v>12427</v>
      </c>
      <c r="X13" s="5">
        <v>12189</v>
      </c>
    </row>
    <row r="14" spans="1:24" x14ac:dyDescent="0.25">
      <c r="A14" s="4" t="s">
        <v>35</v>
      </c>
      <c r="B14" s="6">
        <f t="shared" ref="B14:G14" si="2">SUM(B11:B13)</f>
        <v>23423</v>
      </c>
      <c r="C14" s="6">
        <f t="shared" si="2"/>
        <v>23024</v>
      </c>
      <c r="D14" s="6">
        <f t="shared" si="2"/>
        <v>22990</v>
      </c>
      <c r="E14" s="6">
        <f t="shared" si="2"/>
        <v>23867</v>
      </c>
      <c r="F14" s="6">
        <f t="shared" si="2"/>
        <v>23136</v>
      </c>
      <c r="G14" s="6">
        <f t="shared" si="2"/>
        <v>22879</v>
      </c>
      <c r="H14" s="6">
        <f t="shared" ref="H14:X14" si="3">SUM(H11:H13)</f>
        <v>21630</v>
      </c>
      <c r="I14" s="6">
        <f t="shared" si="3"/>
        <v>22139</v>
      </c>
      <c r="J14" s="6">
        <f t="shared" si="3"/>
        <v>21291</v>
      </c>
      <c r="K14" s="6">
        <f t="shared" si="3"/>
        <v>21272</v>
      </c>
      <c r="L14" s="6">
        <f t="shared" si="3"/>
        <v>19580</v>
      </c>
      <c r="M14" s="6">
        <f t="shared" si="3"/>
        <v>19667</v>
      </c>
      <c r="N14" s="6">
        <f t="shared" si="3"/>
        <v>19319</v>
      </c>
      <c r="O14" s="6">
        <f t="shared" si="3"/>
        <v>17255</v>
      </c>
      <c r="P14" s="6">
        <f t="shared" si="3"/>
        <v>18777</v>
      </c>
      <c r="Q14" s="6">
        <f t="shared" si="3"/>
        <v>20866</v>
      </c>
      <c r="R14" s="6">
        <f t="shared" si="3"/>
        <v>19982</v>
      </c>
      <c r="S14" s="6">
        <f t="shared" si="3"/>
        <v>19873</v>
      </c>
      <c r="T14" s="6">
        <f t="shared" si="3"/>
        <v>19224</v>
      </c>
      <c r="U14" s="6">
        <f t="shared" si="3"/>
        <v>20136</v>
      </c>
      <c r="V14" s="6">
        <f t="shared" si="3"/>
        <v>20052</v>
      </c>
      <c r="W14" s="6">
        <f t="shared" si="3"/>
        <v>19734</v>
      </c>
      <c r="X14" s="6">
        <f t="shared" si="3"/>
        <v>19004</v>
      </c>
    </row>
    <row r="15" spans="1:24" ht="20" thickBot="1" x14ac:dyDescent="0.3">
      <c r="A15" s="4" t="s">
        <v>36</v>
      </c>
      <c r="B15" s="7">
        <f t="shared" ref="B15:X15" si="4">B14+B9</f>
        <v>42597</v>
      </c>
      <c r="C15" s="7">
        <f t="shared" si="4"/>
        <v>42126</v>
      </c>
      <c r="D15" s="7">
        <f t="shared" si="4"/>
        <v>41279</v>
      </c>
      <c r="E15" s="7">
        <f t="shared" si="4"/>
        <v>42455</v>
      </c>
      <c r="F15" s="7">
        <f t="shared" si="4"/>
        <v>42136</v>
      </c>
      <c r="G15" s="7">
        <f t="shared" si="4"/>
        <v>42651</v>
      </c>
      <c r="H15" s="7">
        <f t="shared" si="4"/>
        <v>40051</v>
      </c>
      <c r="I15" s="7">
        <f t="shared" si="4"/>
        <v>40048</v>
      </c>
      <c r="J15" s="7">
        <f t="shared" si="4"/>
        <v>38787</v>
      </c>
      <c r="K15" s="7">
        <f t="shared" si="4"/>
        <v>38684</v>
      </c>
      <c r="L15" s="7">
        <f t="shared" si="4"/>
        <v>35493</v>
      </c>
      <c r="M15" s="7">
        <f t="shared" si="4"/>
        <v>35508</v>
      </c>
      <c r="N15" s="7">
        <f t="shared" si="4"/>
        <v>34489</v>
      </c>
      <c r="O15" s="7">
        <f t="shared" si="4"/>
        <v>30288</v>
      </c>
      <c r="P15" s="7">
        <f t="shared" si="4"/>
        <v>33812</v>
      </c>
      <c r="Q15" s="7">
        <f t="shared" si="4"/>
        <v>36423</v>
      </c>
      <c r="R15" s="7">
        <f t="shared" si="4"/>
        <v>35879</v>
      </c>
      <c r="S15" s="7">
        <f t="shared" si="4"/>
        <v>36079</v>
      </c>
      <c r="T15" s="7">
        <f t="shared" si="4"/>
        <v>34294</v>
      </c>
      <c r="U15" s="7">
        <f t="shared" si="4"/>
        <v>35684</v>
      </c>
      <c r="V15" s="7">
        <f t="shared" si="4"/>
        <v>35738</v>
      </c>
      <c r="W15" s="7">
        <f t="shared" si="4"/>
        <v>35661</v>
      </c>
      <c r="X15" s="7">
        <f t="shared" si="4"/>
        <v>33726</v>
      </c>
    </row>
    <row r="16" spans="1:24" ht="20" thickTop="1" x14ac:dyDescent="0.25">
      <c r="G16" s="5"/>
      <c r="H16" s="5"/>
      <c r="I16" s="5"/>
      <c r="J16" s="5"/>
      <c r="K16" s="5"/>
      <c r="L16" s="5"/>
      <c r="M16" s="5"/>
      <c r="N16" s="5"/>
      <c r="O16" s="5"/>
      <c r="P16" s="5"/>
      <c r="Q16" s="5"/>
      <c r="R16" s="5"/>
      <c r="S16" s="5"/>
      <c r="T16" s="5"/>
      <c r="U16" s="5"/>
      <c r="V16" s="5"/>
      <c r="W16" s="5"/>
      <c r="X16" s="5"/>
    </row>
    <row r="17" spans="1:24" x14ac:dyDescent="0.25">
      <c r="A17" s="20" t="s">
        <v>1</v>
      </c>
      <c r="B17" s="21" t="s">
        <v>2</v>
      </c>
      <c r="C17" s="21" t="s">
        <v>3</v>
      </c>
      <c r="D17" s="21" t="s">
        <v>4</v>
      </c>
      <c r="E17" s="21" t="s">
        <v>5</v>
      </c>
      <c r="F17" s="21" t="s">
        <v>6</v>
      </c>
      <c r="G17" s="21" t="s">
        <v>7</v>
      </c>
      <c r="H17" s="21" t="s">
        <v>8</v>
      </c>
      <c r="I17" s="22" t="s">
        <v>9</v>
      </c>
      <c r="J17" s="22" t="s">
        <v>10</v>
      </c>
      <c r="K17" s="22" t="s">
        <v>11</v>
      </c>
      <c r="L17" s="22" t="s">
        <v>12</v>
      </c>
      <c r="M17" s="22" t="s">
        <v>13</v>
      </c>
      <c r="N17" s="22" t="s">
        <v>14</v>
      </c>
      <c r="O17" s="22" t="s">
        <v>15</v>
      </c>
      <c r="P17" s="22" t="s">
        <v>16</v>
      </c>
      <c r="Q17" s="22" t="s">
        <v>17</v>
      </c>
      <c r="R17" s="22" t="s">
        <v>18</v>
      </c>
      <c r="S17" s="22" t="s">
        <v>19</v>
      </c>
      <c r="T17" s="22" t="s">
        <v>20</v>
      </c>
      <c r="U17" s="22" t="s">
        <v>21</v>
      </c>
      <c r="V17" s="22" t="s">
        <v>22</v>
      </c>
      <c r="W17" s="22" t="s">
        <v>23</v>
      </c>
      <c r="X17" s="22" t="s">
        <v>24</v>
      </c>
    </row>
    <row r="18" spans="1:24" x14ac:dyDescent="0.25">
      <c r="A18" s="4" t="s">
        <v>37</v>
      </c>
      <c r="B18" s="4"/>
      <c r="C18" s="4"/>
      <c r="D18" s="5"/>
      <c r="E18" s="5"/>
      <c r="F18" s="5"/>
      <c r="G18" s="5"/>
      <c r="H18" s="5"/>
      <c r="I18" s="5"/>
      <c r="J18" s="5"/>
      <c r="K18" s="5"/>
      <c r="L18" s="5"/>
      <c r="M18" s="5"/>
      <c r="N18" s="5"/>
      <c r="O18" s="5"/>
      <c r="P18" s="5"/>
      <c r="Q18" s="5"/>
      <c r="R18" s="5"/>
      <c r="S18" s="5"/>
      <c r="T18" s="5"/>
      <c r="U18" s="5"/>
      <c r="V18" s="5"/>
      <c r="W18" s="5"/>
      <c r="X18" s="5"/>
    </row>
    <row r="19" spans="1:24" x14ac:dyDescent="0.25">
      <c r="A19" s="4" t="s">
        <v>26</v>
      </c>
      <c r="B19" s="4"/>
      <c r="C19" s="4"/>
      <c r="D19" s="5"/>
      <c r="E19" s="5"/>
      <c r="F19" s="5"/>
      <c r="G19" s="5"/>
      <c r="H19" s="5"/>
      <c r="I19" s="5"/>
      <c r="J19" s="5"/>
      <c r="K19" s="5"/>
      <c r="L19" s="5"/>
      <c r="M19" s="5"/>
      <c r="N19" s="5"/>
      <c r="O19" s="5"/>
      <c r="P19" s="5"/>
      <c r="Q19" s="5"/>
      <c r="R19" s="5"/>
      <c r="S19" s="5"/>
      <c r="T19" s="5"/>
      <c r="U19" s="5"/>
      <c r="V19" s="5"/>
      <c r="W19" s="5"/>
      <c r="X19" s="5"/>
    </row>
    <row r="20" spans="1:24" x14ac:dyDescent="0.25">
      <c r="A20" s="2" t="s">
        <v>27</v>
      </c>
      <c r="B20" s="5">
        <v>1427</v>
      </c>
      <c r="C20" s="5">
        <v>1520</v>
      </c>
      <c r="D20" s="5">
        <v>1441</v>
      </c>
      <c r="E20" s="5">
        <f>4862-SUM(F20:H20)</f>
        <v>1001</v>
      </c>
      <c r="F20" s="5">
        <v>1375</v>
      </c>
      <c r="G20" s="5">
        <v>1270</v>
      </c>
      <c r="H20" s="5">
        <v>1216</v>
      </c>
      <c r="I20" s="5">
        <f>4469-3508</f>
        <v>961</v>
      </c>
      <c r="J20" s="5">
        <v>1124</v>
      </c>
      <c r="K20" s="5">
        <v>1242</v>
      </c>
      <c r="L20" s="5">
        <v>1142</v>
      </c>
      <c r="M20" s="5">
        <f>3755-2781</f>
        <v>974</v>
      </c>
      <c r="N20" s="5">
        <v>940</v>
      </c>
      <c r="O20" s="5">
        <v>535</v>
      </c>
      <c r="P20" s="5">
        <v>1306</v>
      </c>
      <c r="Q20" s="5">
        <f>5635-4441</f>
        <v>1194</v>
      </c>
      <c r="R20" s="5">
        <v>1458</v>
      </c>
      <c r="S20" s="5">
        <v>1552</v>
      </c>
      <c r="T20" s="5">
        <v>1431</v>
      </c>
      <c r="U20" s="5">
        <f>5822-4481</f>
        <v>1341</v>
      </c>
      <c r="V20" s="5">
        <v>1449</v>
      </c>
      <c r="W20" s="5">
        <v>1564</v>
      </c>
      <c r="X20" s="5">
        <v>1467</v>
      </c>
    </row>
    <row r="21" spans="1:24" x14ac:dyDescent="0.25">
      <c r="A21" s="2" t="s">
        <v>28</v>
      </c>
      <c r="B21" s="5">
        <v>1167</v>
      </c>
      <c r="C21" s="5">
        <v>1227</v>
      </c>
      <c r="D21" s="5">
        <v>895</v>
      </c>
      <c r="E21" s="5">
        <f>4789-SUM(F21:H21)</f>
        <v>1102</v>
      </c>
      <c r="F21" s="5">
        <v>1236</v>
      </c>
      <c r="G21" s="5">
        <v>1307</v>
      </c>
      <c r="H21" s="5">
        <v>1144</v>
      </c>
      <c r="I21" s="5">
        <f>3390-2576</f>
        <v>814</v>
      </c>
      <c r="J21" s="5">
        <v>833</v>
      </c>
      <c r="K21" s="5">
        <v>973</v>
      </c>
      <c r="L21" s="5">
        <v>770</v>
      </c>
      <c r="M21" s="5">
        <f>2858-2088</f>
        <v>770</v>
      </c>
      <c r="N21" s="5">
        <v>825</v>
      </c>
      <c r="O21" s="5">
        <v>696</v>
      </c>
      <c r="P21" s="5">
        <v>567</v>
      </c>
      <c r="Q21" s="5">
        <f>2636-1904</f>
        <v>732</v>
      </c>
      <c r="R21" s="5">
        <v>696</v>
      </c>
      <c r="S21" s="5">
        <v>726</v>
      </c>
      <c r="T21" s="5">
        <v>482</v>
      </c>
      <c r="U21" s="5">
        <f>2336-1676</f>
        <v>660</v>
      </c>
      <c r="V21" s="5">
        <v>580</v>
      </c>
      <c r="W21" s="5">
        <v>649</v>
      </c>
      <c r="X21" s="5">
        <v>447</v>
      </c>
    </row>
    <row r="22" spans="1:24" x14ac:dyDescent="0.25">
      <c r="A22" s="2" t="s">
        <v>29</v>
      </c>
      <c r="B22" s="5">
        <v>483</v>
      </c>
      <c r="C22" s="5">
        <v>356</v>
      </c>
      <c r="D22" s="5">
        <v>275</v>
      </c>
      <c r="E22" s="5">
        <f>1526-SUM(F22:H22)</f>
        <v>339</v>
      </c>
      <c r="F22" s="5">
        <v>272</v>
      </c>
      <c r="G22" s="5">
        <v>451</v>
      </c>
      <c r="H22" s="5">
        <v>464</v>
      </c>
      <c r="I22" s="5">
        <f>1982-1511</f>
        <v>471</v>
      </c>
      <c r="J22" s="5">
        <v>488</v>
      </c>
      <c r="K22" s="5">
        <v>499</v>
      </c>
      <c r="L22" s="5">
        <v>524</v>
      </c>
      <c r="M22" s="5">
        <f>1397-896</f>
        <v>501</v>
      </c>
      <c r="N22" s="5">
        <v>490</v>
      </c>
      <c r="O22" s="5">
        <v>168</v>
      </c>
      <c r="P22" s="5">
        <v>238</v>
      </c>
      <c r="Q22" s="5">
        <f>1251-860</f>
        <v>391</v>
      </c>
      <c r="R22" s="5">
        <v>330</v>
      </c>
      <c r="S22" s="5">
        <v>249</v>
      </c>
      <c r="T22" s="5">
        <v>281</v>
      </c>
      <c r="U22" s="5">
        <f>1208-948</f>
        <v>260</v>
      </c>
      <c r="V22" s="5">
        <v>340</v>
      </c>
      <c r="W22" s="5">
        <v>316</v>
      </c>
      <c r="X22" s="5">
        <v>293</v>
      </c>
    </row>
    <row r="23" spans="1:24" x14ac:dyDescent="0.25">
      <c r="A23" s="4" t="s">
        <v>30</v>
      </c>
      <c r="B23" s="6">
        <f t="shared" ref="B23:G23" si="5">SUM(B20:B22)</f>
        <v>3077</v>
      </c>
      <c r="C23" s="6">
        <f t="shared" si="5"/>
        <v>3103</v>
      </c>
      <c r="D23" s="6">
        <f t="shared" si="5"/>
        <v>2611</v>
      </c>
      <c r="E23" s="6">
        <f t="shared" si="5"/>
        <v>2442</v>
      </c>
      <c r="F23" s="6">
        <f t="shared" si="5"/>
        <v>2883</v>
      </c>
      <c r="G23" s="6">
        <f t="shared" si="5"/>
        <v>3028</v>
      </c>
      <c r="H23" s="6">
        <f t="shared" ref="H23:X23" si="6">SUM(H20:H22)</f>
        <v>2824</v>
      </c>
      <c r="I23" s="6">
        <f t="shared" si="6"/>
        <v>2246</v>
      </c>
      <c r="J23" s="6">
        <f t="shared" si="6"/>
        <v>2445</v>
      </c>
      <c r="K23" s="6">
        <f t="shared" si="6"/>
        <v>2714</v>
      </c>
      <c r="L23" s="6">
        <f t="shared" si="6"/>
        <v>2436</v>
      </c>
      <c r="M23" s="6">
        <f t="shared" si="6"/>
        <v>2245</v>
      </c>
      <c r="N23" s="6">
        <f t="shared" si="6"/>
        <v>2255</v>
      </c>
      <c r="O23" s="6">
        <f t="shared" si="6"/>
        <v>1399</v>
      </c>
      <c r="P23" s="6">
        <f t="shared" si="6"/>
        <v>2111</v>
      </c>
      <c r="Q23" s="6">
        <f t="shared" si="6"/>
        <v>2317</v>
      </c>
      <c r="R23" s="6">
        <f t="shared" si="6"/>
        <v>2484</v>
      </c>
      <c r="S23" s="6">
        <f t="shared" si="6"/>
        <v>2527</v>
      </c>
      <c r="T23" s="6">
        <f t="shared" si="6"/>
        <v>2194</v>
      </c>
      <c r="U23" s="6">
        <f t="shared" si="6"/>
        <v>2261</v>
      </c>
      <c r="V23" s="6">
        <f t="shared" si="6"/>
        <v>2369</v>
      </c>
      <c r="W23" s="6">
        <f t="shared" si="6"/>
        <v>2529</v>
      </c>
      <c r="X23" s="6">
        <f t="shared" si="6"/>
        <v>2207</v>
      </c>
    </row>
    <row r="24" spans="1:24" x14ac:dyDescent="0.25">
      <c r="A24" s="4" t="s">
        <v>31</v>
      </c>
      <c r="B24" s="5"/>
      <c r="C24" s="5"/>
      <c r="D24" s="5"/>
      <c r="E24" s="5"/>
      <c r="F24" s="5"/>
      <c r="G24" s="5"/>
      <c r="H24" s="5"/>
      <c r="I24" s="5"/>
      <c r="J24" s="5"/>
      <c r="K24" s="5"/>
      <c r="L24" s="5"/>
      <c r="M24" s="5"/>
      <c r="N24" s="5"/>
      <c r="O24" s="5"/>
      <c r="P24" s="5"/>
      <c r="Q24" s="5"/>
      <c r="R24" s="5"/>
      <c r="S24" s="5"/>
      <c r="T24" s="5"/>
      <c r="U24" s="5"/>
      <c r="V24" s="5"/>
      <c r="W24" s="5"/>
      <c r="X24" s="5"/>
    </row>
    <row r="25" spans="1:24" x14ac:dyDescent="0.25">
      <c r="A25" s="2" t="s">
        <v>32</v>
      </c>
      <c r="B25" s="5">
        <v>772</v>
      </c>
      <c r="C25" s="5">
        <v>824</v>
      </c>
      <c r="D25" s="5">
        <v>837</v>
      </c>
      <c r="E25" s="5">
        <f>3047-SUM(F25:H25)</f>
        <v>761</v>
      </c>
      <c r="F25" s="5">
        <v>806</v>
      </c>
      <c r="G25" s="5">
        <v>756</v>
      </c>
      <c r="H25" s="5">
        <v>724</v>
      </c>
      <c r="I25" s="5">
        <f>2672-2013</f>
        <v>659</v>
      </c>
      <c r="J25" s="5">
        <v>696</v>
      </c>
      <c r="K25" s="5">
        <v>727</v>
      </c>
      <c r="L25" s="5">
        <v>590</v>
      </c>
      <c r="M25" s="5">
        <f>1600-1155</f>
        <v>445</v>
      </c>
      <c r="N25" s="5">
        <v>470</v>
      </c>
      <c r="O25" s="5">
        <v>260</v>
      </c>
      <c r="P25" s="5">
        <v>425</v>
      </c>
      <c r="Q25" s="5">
        <f>1681-1425</f>
        <v>256</v>
      </c>
      <c r="R25" s="5">
        <v>451</v>
      </c>
      <c r="S25" s="5">
        <v>502</v>
      </c>
      <c r="T25" s="5">
        <v>472</v>
      </c>
      <c r="U25" s="5">
        <f>1836-1465</f>
        <v>371</v>
      </c>
      <c r="V25" s="5">
        <v>517</v>
      </c>
      <c r="W25" s="5">
        <v>533</v>
      </c>
      <c r="X25" s="5">
        <v>415</v>
      </c>
    </row>
    <row r="26" spans="1:24" x14ac:dyDescent="0.25">
      <c r="A26" s="2" t="s">
        <v>33</v>
      </c>
      <c r="B26" s="5">
        <v>414</v>
      </c>
      <c r="C26" s="5">
        <v>438</v>
      </c>
      <c r="D26" s="5">
        <v>384</v>
      </c>
      <c r="E26" s="5">
        <f>1724-SUM(F26:H26)</f>
        <v>474</v>
      </c>
      <c r="F26" s="5">
        <v>396</v>
      </c>
      <c r="G26" s="5">
        <v>443</v>
      </c>
      <c r="H26" s="5">
        <v>411</v>
      </c>
      <c r="I26" s="5">
        <f>1809-1221</f>
        <v>588</v>
      </c>
      <c r="J26" s="5">
        <v>414</v>
      </c>
      <c r="K26" s="5">
        <v>459</v>
      </c>
      <c r="L26" s="5">
        <v>348</v>
      </c>
      <c r="M26" s="5">
        <f>1028-590</f>
        <v>438</v>
      </c>
      <c r="N26" s="5">
        <v>309</v>
      </c>
      <c r="O26" s="5">
        <v>148</v>
      </c>
      <c r="P26" s="5">
        <v>133</v>
      </c>
      <c r="Q26" s="5">
        <f>874-580</f>
        <v>294</v>
      </c>
      <c r="R26" s="5">
        <v>188</v>
      </c>
      <c r="S26" s="5">
        <v>243</v>
      </c>
      <c r="T26" s="5">
        <v>149</v>
      </c>
      <c r="U26" s="5">
        <f>860-572</f>
        <v>288</v>
      </c>
      <c r="V26" s="5">
        <v>184</v>
      </c>
      <c r="W26" s="5">
        <v>230</v>
      </c>
      <c r="X26" s="5">
        <v>158</v>
      </c>
    </row>
    <row r="27" spans="1:24" x14ac:dyDescent="0.25">
      <c r="A27" s="2" t="s">
        <v>34</v>
      </c>
      <c r="B27" s="5">
        <v>116</v>
      </c>
      <c r="C27" s="5">
        <v>129</v>
      </c>
      <c r="D27" s="5">
        <v>113</v>
      </c>
      <c r="E27" s="5">
        <f>271-SUM(F27:H27)</f>
        <v>1</v>
      </c>
      <c r="F27" s="5">
        <v>112</v>
      </c>
      <c r="G27" s="5">
        <v>76</v>
      </c>
      <c r="H27" s="5">
        <v>82</v>
      </c>
      <c r="I27" s="5">
        <f>230-179</f>
        <v>51</v>
      </c>
      <c r="J27" s="5">
        <v>-8</v>
      </c>
      <c r="K27" s="5">
        <v>84</v>
      </c>
      <c r="L27" s="5">
        <v>103</v>
      </c>
      <c r="M27" s="5">
        <f>251-205</f>
        <v>46</v>
      </c>
      <c r="N27" s="5">
        <v>96</v>
      </c>
      <c r="O27" s="5">
        <v>44</v>
      </c>
      <c r="P27" s="5">
        <v>65</v>
      </c>
      <c r="Q27" s="5">
        <f>288-220</f>
        <v>68</v>
      </c>
      <c r="R27" s="5">
        <v>50</v>
      </c>
      <c r="S27" s="5">
        <v>59</v>
      </c>
      <c r="T27" s="5">
        <v>111</v>
      </c>
      <c r="U27" s="5">
        <f>246-171</f>
        <v>75</v>
      </c>
      <c r="V27" s="5">
        <v>44</v>
      </c>
      <c r="W27" s="5">
        <v>67</v>
      </c>
      <c r="X27" s="5">
        <v>60</v>
      </c>
    </row>
    <row r="28" spans="1:24" x14ac:dyDescent="0.25">
      <c r="A28" s="4" t="s">
        <v>35</v>
      </c>
      <c r="B28" s="6">
        <f t="shared" ref="B28:G28" si="7">SUM(B25:B27)</f>
        <v>1302</v>
      </c>
      <c r="C28" s="6">
        <f t="shared" si="7"/>
        <v>1391</v>
      </c>
      <c r="D28" s="6">
        <f t="shared" si="7"/>
        <v>1334</v>
      </c>
      <c r="E28" s="6">
        <f t="shared" si="7"/>
        <v>1236</v>
      </c>
      <c r="F28" s="6">
        <f t="shared" si="7"/>
        <v>1314</v>
      </c>
      <c r="G28" s="6">
        <f t="shared" si="7"/>
        <v>1275</v>
      </c>
      <c r="H28" s="6">
        <f t="shared" ref="H28:X28" si="8">SUM(H25:H27)</f>
        <v>1217</v>
      </c>
      <c r="I28" s="6">
        <f t="shared" si="8"/>
        <v>1298</v>
      </c>
      <c r="J28" s="6">
        <f t="shared" si="8"/>
        <v>1102</v>
      </c>
      <c r="K28" s="6">
        <f t="shared" si="8"/>
        <v>1270</v>
      </c>
      <c r="L28" s="6">
        <f t="shared" si="8"/>
        <v>1041</v>
      </c>
      <c r="M28" s="6">
        <f t="shared" si="8"/>
        <v>929</v>
      </c>
      <c r="N28" s="6">
        <f t="shared" si="8"/>
        <v>875</v>
      </c>
      <c r="O28" s="6">
        <f t="shared" si="8"/>
        <v>452</v>
      </c>
      <c r="P28" s="6">
        <f t="shared" si="8"/>
        <v>623</v>
      </c>
      <c r="Q28" s="6">
        <f t="shared" si="8"/>
        <v>618</v>
      </c>
      <c r="R28" s="6">
        <f t="shared" si="8"/>
        <v>689</v>
      </c>
      <c r="S28" s="6">
        <f t="shared" si="8"/>
        <v>804</v>
      </c>
      <c r="T28" s="6">
        <f t="shared" si="8"/>
        <v>732</v>
      </c>
      <c r="U28" s="6">
        <f t="shared" si="8"/>
        <v>734</v>
      </c>
      <c r="V28" s="6">
        <f t="shared" si="8"/>
        <v>745</v>
      </c>
      <c r="W28" s="6">
        <f t="shared" si="8"/>
        <v>830</v>
      </c>
      <c r="X28" s="6">
        <f t="shared" si="8"/>
        <v>633</v>
      </c>
    </row>
    <row r="29" spans="1:24" x14ac:dyDescent="0.25">
      <c r="A29" s="4" t="s">
        <v>38</v>
      </c>
      <c r="B29" s="6">
        <f t="shared" ref="B29:X29" si="9">B28+B23</f>
        <v>4379</v>
      </c>
      <c r="C29" s="6">
        <f t="shared" si="9"/>
        <v>4494</v>
      </c>
      <c r="D29" s="6">
        <f t="shared" si="9"/>
        <v>3945</v>
      </c>
      <c r="E29" s="6">
        <f t="shared" si="9"/>
        <v>3678</v>
      </c>
      <c r="F29" s="6">
        <f t="shared" si="9"/>
        <v>4197</v>
      </c>
      <c r="G29" s="6">
        <f t="shared" si="9"/>
        <v>4303</v>
      </c>
      <c r="H29" s="6">
        <f t="shared" si="9"/>
        <v>4041</v>
      </c>
      <c r="I29" s="6">
        <f t="shared" si="9"/>
        <v>3544</v>
      </c>
      <c r="J29" s="6">
        <f t="shared" si="9"/>
        <v>3547</v>
      </c>
      <c r="K29" s="6">
        <f t="shared" si="9"/>
        <v>3984</v>
      </c>
      <c r="L29" s="6">
        <f t="shared" si="9"/>
        <v>3477</v>
      </c>
      <c r="M29" s="6">
        <f t="shared" si="9"/>
        <v>3174</v>
      </c>
      <c r="N29" s="6">
        <f t="shared" si="9"/>
        <v>3130</v>
      </c>
      <c r="O29" s="6">
        <f t="shared" si="9"/>
        <v>1851</v>
      </c>
      <c r="P29" s="6">
        <f t="shared" si="9"/>
        <v>2734</v>
      </c>
      <c r="Q29" s="6">
        <f t="shared" si="9"/>
        <v>2935</v>
      </c>
      <c r="R29" s="6">
        <f t="shared" si="9"/>
        <v>3173</v>
      </c>
      <c r="S29" s="6">
        <f t="shared" si="9"/>
        <v>3331</v>
      </c>
      <c r="T29" s="6">
        <f t="shared" si="9"/>
        <v>2926</v>
      </c>
      <c r="U29" s="6">
        <f t="shared" si="9"/>
        <v>2995</v>
      </c>
      <c r="V29" s="6">
        <f t="shared" si="9"/>
        <v>3114</v>
      </c>
      <c r="W29" s="6">
        <f t="shared" si="9"/>
        <v>3359</v>
      </c>
      <c r="X29" s="6">
        <f t="shared" si="9"/>
        <v>2840</v>
      </c>
    </row>
    <row r="30" spans="1:24" x14ac:dyDescent="0.25">
      <c r="A30" s="2" t="s">
        <v>39</v>
      </c>
      <c r="B30" s="5">
        <v>1038</v>
      </c>
      <c r="C30" s="5">
        <v>1105</v>
      </c>
      <c r="D30" s="5">
        <v>963</v>
      </c>
      <c r="E30" s="5">
        <f>3707-SUM(F30:H30)</f>
        <v>687</v>
      </c>
      <c r="F30" s="5">
        <v>950</v>
      </c>
      <c r="G30" s="5">
        <v>1054</v>
      </c>
      <c r="H30" s="5">
        <v>1016</v>
      </c>
      <c r="I30" s="5">
        <f>3432-2679</f>
        <v>753</v>
      </c>
      <c r="J30" s="5">
        <v>841</v>
      </c>
      <c r="K30" s="5">
        <v>980</v>
      </c>
      <c r="L30" s="5">
        <v>858</v>
      </c>
      <c r="M30" s="5">
        <f>2589-1882</f>
        <v>707</v>
      </c>
      <c r="N30" s="5">
        <v>784</v>
      </c>
      <c r="O30" s="5">
        <v>402</v>
      </c>
      <c r="P30" s="5">
        <v>696</v>
      </c>
      <c r="Q30" s="5">
        <f>2993-2288</f>
        <v>705</v>
      </c>
      <c r="R30" s="5">
        <v>718</v>
      </c>
      <c r="S30" s="5">
        <v>844</v>
      </c>
      <c r="T30" s="5">
        <v>726</v>
      </c>
      <c r="U30" s="5">
        <f>2944-2289</f>
        <v>655</v>
      </c>
      <c r="V30" s="5">
        <v>703</v>
      </c>
      <c r="W30" s="5">
        <v>873</v>
      </c>
      <c r="X30" s="5">
        <v>713</v>
      </c>
    </row>
    <row r="31" spans="1:24" ht="20" thickBot="1" x14ac:dyDescent="0.3">
      <c r="A31" s="4" t="s">
        <v>40</v>
      </c>
      <c r="B31" s="8">
        <f t="shared" ref="B31:X31" si="10">B29-B30</f>
        <v>3341</v>
      </c>
      <c r="C31" s="8">
        <f t="shared" si="10"/>
        <v>3389</v>
      </c>
      <c r="D31" s="8">
        <f t="shared" si="10"/>
        <v>2982</v>
      </c>
      <c r="E31" s="8">
        <f t="shared" si="10"/>
        <v>2991</v>
      </c>
      <c r="F31" s="8">
        <f t="shared" si="10"/>
        <v>3247</v>
      </c>
      <c r="G31" s="8">
        <f t="shared" si="10"/>
        <v>3249</v>
      </c>
      <c r="H31" s="8">
        <f t="shared" si="10"/>
        <v>3025</v>
      </c>
      <c r="I31" s="8">
        <f t="shared" si="10"/>
        <v>2791</v>
      </c>
      <c r="J31" s="8">
        <f t="shared" si="10"/>
        <v>2706</v>
      </c>
      <c r="K31" s="8">
        <f t="shared" si="10"/>
        <v>3004</v>
      </c>
      <c r="L31" s="8">
        <f t="shared" si="10"/>
        <v>2619</v>
      </c>
      <c r="M31" s="8">
        <f t="shared" si="10"/>
        <v>2467</v>
      </c>
      <c r="N31" s="8">
        <f t="shared" si="10"/>
        <v>2346</v>
      </c>
      <c r="O31" s="8">
        <f t="shared" si="10"/>
        <v>1449</v>
      </c>
      <c r="P31" s="8">
        <f t="shared" si="10"/>
        <v>2038</v>
      </c>
      <c r="Q31" s="8">
        <f t="shared" si="10"/>
        <v>2230</v>
      </c>
      <c r="R31" s="8">
        <f t="shared" si="10"/>
        <v>2455</v>
      </c>
      <c r="S31" s="8">
        <f t="shared" si="10"/>
        <v>2487</v>
      </c>
      <c r="T31" s="8">
        <f t="shared" si="10"/>
        <v>2200</v>
      </c>
      <c r="U31" s="8">
        <f t="shared" si="10"/>
        <v>2340</v>
      </c>
      <c r="V31" s="8">
        <f t="shared" si="10"/>
        <v>2411</v>
      </c>
      <c r="W31" s="8">
        <f t="shared" si="10"/>
        <v>2486</v>
      </c>
      <c r="X31" s="8">
        <f t="shared" si="10"/>
        <v>2127</v>
      </c>
    </row>
    <row r="32" spans="1:24" ht="20" thickTop="1" x14ac:dyDescent="0.25">
      <c r="A32" s="9"/>
      <c r="B32" s="9"/>
      <c r="C32" s="9"/>
      <c r="D32" s="9"/>
      <c r="E32" s="9"/>
      <c r="F32" s="10"/>
      <c r="G32" s="10"/>
      <c r="H32" s="10"/>
      <c r="I32" s="10"/>
      <c r="J32" s="10"/>
      <c r="K32" s="10"/>
      <c r="L32" s="10"/>
      <c r="M32" s="10"/>
      <c r="N32" s="10"/>
      <c r="O32" s="10"/>
      <c r="P32" s="10"/>
      <c r="Q32" s="10"/>
      <c r="R32" s="10"/>
      <c r="S32" s="10"/>
      <c r="T32" s="10"/>
      <c r="U32" s="10"/>
      <c r="V32" s="10"/>
      <c r="W32" s="10"/>
      <c r="X32" s="10"/>
    </row>
    <row r="33" spans="1:24" x14ac:dyDescent="0.25">
      <c r="A33" s="20"/>
      <c r="B33" s="21" t="s">
        <v>2</v>
      </c>
      <c r="C33" s="21" t="s">
        <v>3</v>
      </c>
      <c r="D33" s="21" t="s">
        <v>4</v>
      </c>
      <c r="E33" s="21" t="s">
        <v>5</v>
      </c>
      <c r="F33" s="21" t="s">
        <v>6</v>
      </c>
      <c r="G33" s="21" t="s">
        <v>7</v>
      </c>
      <c r="H33" s="21" t="s">
        <v>8</v>
      </c>
      <c r="I33" s="22" t="s">
        <v>9</v>
      </c>
      <c r="J33" s="22" t="s">
        <v>10</v>
      </c>
      <c r="K33" s="22" t="s">
        <v>11</v>
      </c>
      <c r="L33" s="22" t="s">
        <v>12</v>
      </c>
      <c r="M33" s="22" t="s">
        <v>13</v>
      </c>
      <c r="N33" s="22" t="s">
        <v>14</v>
      </c>
      <c r="O33" s="22" t="s">
        <v>15</v>
      </c>
      <c r="P33" s="22" t="s">
        <v>16</v>
      </c>
      <c r="Q33" s="22" t="s">
        <v>17</v>
      </c>
      <c r="R33" s="22" t="s">
        <v>18</v>
      </c>
      <c r="S33" s="22" t="s">
        <v>19</v>
      </c>
      <c r="T33" s="22" t="s">
        <v>20</v>
      </c>
      <c r="U33" s="22" t="s">
        <v>21</v>
      </c>
      <c r="V33" s="22" t="s">
        <v>22</v>
      </c>
      <c r="W33" s="22" t="s">
        <v>23</v>
      </c>
      <c r="X33" s="22" t="s">
        <v>24</v>
      </c>
    </row>
    <row r="34" spans="1:24" x14ac:dyDescent="0.25">
      <c r="A34" s="4" t="s">
        <v>41</v>
      </c>
      <c r="B34" s="4"/>
      <c r="C34" s="4"/>
    </row>
    <row r="35" spans="1:24" x14ac:dyDescent="0.25">
      <c r="A35" s="4" t="s">
        <v>26</v>
      </c>
      <c r="B35" s="4"/>
      <c r="C35" s="4"/>
      <c r="H35" s="11"/>
      <c r="I35" s="11"/>
      <c r="J35" s="11"/>
      <c r="K35" s="11"/>
      <c r="L35" s="11"/>
      <c r="M35" s="11"/>
      <c r="N35" s="11"/>
      <c r="O35" s="11"/>
      <c r="P35" s="11"/>
      <c r="Q35" s="11"/>
      <c r="R35" s="11"/>
      <c r="S35" s="11"/>
      <c r="T35" s="11"/>
      <c r="U35" s="11"/>
      <c r="V35" s="11"/>
      <c r="W35" s="11"/>
      <c r="X35" s="11"/>
    </row>
    <row r="36" spans="1:24" x14ac:dyDescent="0.25">
      <c r="A36" s="2" t="s">
        <v>27</v>
      </c>
      <c r="B36" s="11">
        <f t="shared" ref="B36:X39" si="11">B20/B6</f>
        <v>0.16464751355717089</v>
      </c>
      <c r="C36" s="11">
        <f t="shared" si="11"/>
        <v>0.17124831004957189</v>
      </c>
      <c r="D36" s="11">
        <f t="shared" si="11"/>
        <v>0.16258603181766895</v>
      </c>
      <c r="E36" s="11">
        <f t="shared" si="11"/>
        <v>0.12651668351870576</v>
      </c>
      <c r="F36" s="11">
        <f t="shared" si="11"/>
        <v>0.17803962190858474</v>
      </c>
      <c r="G36" s="11">
        <f t="shared" si="11"/>
        <v>0.16463572724915737</v>
      </c>
      <c r="H36" s="11">
        <f t="shared" si="11"/>
        <v>0.16267558528428094</v>
      </c>
      <c r="I36" s="11">
        <f t="shared" si="11"/>
        <v>0.13485826550659558</v>
      </c>
      <c r="J36" s="11">
        <f t="shared" si="11"/>
        <v>0.15628476084538376</v>
      </c>
      <c r="K36" s="11">
        <f t="shared" si="11"/>
        <v>0.17283607013637628</v>
      </c>
      <c r="L36" s="11">
        <f t="shared" si="11"/>
        <v>0.1711630695443645</v>
      </c>
      <c r="M36" s="11">
        <f t="shared" si="11"/>
        <v>0.15345832676855206</v>
      </c>
      <c r="N36" s="11">
        <f t="shared" si="11"/>
        <v>0.15227604082293861</v>
      </c>
      <c r="O36" s="11">
        <f t="shared" si="11"/>
        <v>9.2416652271549493E-2</v>
      </c>
      <c r="P36" s="11">
        <f t="shared" si="11"/>
        <v>0.17749388420766513</v>
      </c>
      <c r="Q36" s="11">
        <f t="shared" si="11"/>
        <v>0.16324856439704677</v>
      </c>
      <c r="R36" s="11">
        <f t="shared" si="11"/>
        <v>0.18895800933125972</v>
      </c>
      <c r="S36" s="11">
        <f t="shared" si="11"/>
        <v>0.19677951058704196</v>
      </c>
      <c r="T36" s="11">
        <f t="shared" si="11"/>
        <v>0.18640093786635403</v>
      </c>
      <c r="U36" s="11">
        <f t="shared" si="11"/>
        <v>0.17794585987261147</v>
      </c>
      <c r="V36" s="11">
        <f t="shared" si="11"/>
        <v>0.18884399843607455</v>
      </c>
      <c r="W36" s="11">
        <f t="shared" si="11"/>
        <v>0.19921029168258819</v>
      </c>
      <c r="X36" s="11">
        <f t="shared" si="11"/>
        <v>0.19254495340595879</v>
      </c>
    </row>
    <row r="37" spans="1:24" x14ac:dyDescent="0.25">
      <c r="A37" s="2" t="s">
        <v>28</v>
      </c>
      <c r="B37" s="11">
        <f t="shared" si="11"/>
        <v>0.17317109363407035</v>
      </c>
      <c r="C37" s="11">
        <f t="shared" si="11"/>
        <v>0.18332586284177499</v>
      </c>
      <c r="D37" s="11">
        <f t="shared" si="11"/>
        <v>0.14891846921797006</v>
      </c>
      <c r="E37" s="11">
        <f t="shared" si="11"/>
        <v>0.16005809731299928</v>
      </c>
      <c r="F37" s="11">
        <f t="shared" si="11"/>
        <v>0.16286730794571089</v>
      </c>
      <c r="G37" s="11">
        <f t="shared" si="11"/>
        <v>0.16952010376134891</v>
      </c>
      <c r="H37" s="11">
        <f t="shared" si="11"/>
        <v>0.17044100119189512</v>
      </c>
      <c r="I37" s="11">
        <f t="shared" si="11"/>
        <v>0.12389649923896499</v>
      </c>
      <c r="J37" s="11">
        <f t="shared" si="11"/>
        <v>0.13068716661437088</v>
      </c>
      <c r="K37" s="11">
        <f t="shared" si="11"/>
        <v>0.15198375507653858</v>
      </c>
      <c r="L37" s="11">
        <f t="shared" si="11"/>
        <v>0.13681592039800994</v>
      </c>
      <c r="M37" s="11">
        <f t="shared" si="11"/>
        <v>0.13398294762484775</v>
      </c>
      <c r="N37" s="11">
        <f t="shared" si="11"/>
        <v>0.14545133991537376</v>
      </c>
      <c r="O37" s="11">
        <f t="shared" si="11"/>
        <v>0.14009661835748793</v>
      </c>
      <c r="P37" s="11">
        <f t="shared" si="11"/>
        <v>0.11673872760963558</v>
      </c>
      <c r="Q37" s="11">
        <f t="shared" si="11"/>
        <v>0.14310850439882697</v>
      </c>
      <c r="R37" s="11">
        <f t="shared" si="11"/>
        <v>0.13179322098087484</v>
      </c>
      <c r="S37" s="11">
        <f t="shared" si="11"/>
        <v>0.13522071149189793</v>
      </c>
      <c r="T37" s="11">
        <f t="shared" si="11"/>
        <v>0.10565541429197721</v>
      </c>
      <c r="U37" s="11">
        <f t="shared" si="11"/>
        <v>0.13813311008790288</v>
      </c>
      <c r="V37" s="11">
        <f t="shared" si="11"/>
        <v>0.11672368685852284</v>
      </c>
      <c r="W37" s="11">
        <f t="shared" si="11"/>
        <v>0.13381443298969073</v>
      </c>
      <c r="X37" s="11">
        <f t="shared" si="11"/>
        <v>0.10955882352941176</v>
      </c>
    </row>
    <row r="38" spans="1:24" x14ac:dyDescent="0.25">
      <c r="A38" s="2" t="s">
        <v>29</v>
      </c>
      <c r="B38" s="11">
        <f t="shared" si="11"/>
        <v>0.12818471337579618</v>
      </c>
      <c r="C38" s="11">
        <f t="shared" si="11"/>
        <v>0.10076422303990942</v>
      </c>
      <c r="D38" s="11">
        <f t="shared" si="11"/>
        <v>8.0503512880562067E-2</v>
      </c>
      <c r="E38" s="11">
        <f t="shared" si="11"/>
        <v>8.942231601160644E-2</v>
      </c>
      <c r="F38" s="11">
        <f t="shared" si="11"/>
        <v>7.3752711496746198E-2</v>
      </c>
      <c r="G38" s="11">
        <f t="shared" si="11"/>
        <v>0.10372585096596136</v>
      </c>
      <c r="H38" s="11">
        <f t="shared" si="11"/>
        <v>0.1095890410958904</v>
      </c>
      <c r="I38" s="11">
        <f t="shared" si="11"/>
        <v>0.11179681936862093</v>
      </c>
      <c r="J38" s="11">
        <f t="shared" si="11"/>
        <v>0.12417302798982188</v>
      </c>
      <c r="K38" s="11">
        <f t="shared" si="11"/>
        <v>0.13049163179916318</v>
      </c>
      <c r="L38" s="11">
        <f t="shared" si="11"/>
        <v>0.14503182950456683</v>
      </c>
      <c r="M38" s="11">
        <f t="shared" si="11"/>
        <v>0.13370696557245795</v>
      </c>
      <c r="N38" s="11">
        <f t="shared" si="11"/>
        <v>0.14736842105263157</v>
      </c>
      <c r="O38" s="11">
        <f t="shared" si="11"/>
        <v>7.3813708260105443E-2</v>
      </c>
      <c r="P38" s="11">
        <f t="shared" si="11"/>
        <v>8.4397163120567373E-2</v>
      </c>
      <c r="Q38" s="11">
        <f t="shared" si="11"/>
        <v>0.125</v>
      </c>
      <c r="R38" s="11">
        <f t="shared" si="11"/>
        <v>0.11379310344827587</v>
      </c>
      <c r="S38" s="11">
        <f t="shared" si="11"/>
        <v>8.4406779661016951E-2</v>
      </c>
      <c r="T38" s="11">
        <f t="shared" si="11"/>
        <v>9.9258212645708235E-2</v>
      </c>
      <c r="U38" s="11">
        <f t="shared" si="11"/>
        <v>8.0395794681508967E-2</v>
      </c>
      <c r="V38" s="11">
        <f t="shared" si="11"/>
        <v>0.11169513797634691</v>
      </c>
      <c r="W38" s="11">
        <f t="shared" si="11"/>
        <v>9.7954122752634848E-2</v>
      </c>
      <c r="X38" s="11">
        <f t="shared" si="11"/>
        <v>9.6923585841878934E-2</v>
      </c>
    </row>
    <row r="39" spans="1:24" x14ac:dyDescent="0.25">
      <c r="A39" s="4" t="s">
        <v>30</v>
      </c>
      <c r="B39" s="12">
        <f>B23/B9</f>
        <v>0.16047773025972673</v>
      </c>
      <c r="C39" s="12">
        <f>C23/C9</f>
        <v>0.16244372317034866</v>
      </c>
      <c r="D39" s="12">
        <f t="shared" si="11"/>
        <v>0.14276340969981957</v>
      </c>
      <c r="E39" s="12">
        <f t="shared" si="11"/>
        <v>0.13137508069722401</v>
      </c>
      <c r="F39" s="12">
        <f t="shared" si="11"/>
        <v>0.15173684210526317</v>
      </c>
      <c r="G39" s="12">
        <f t="shared" si="11"/>
        <v>0.15314586283633422</v>
      </c>
      <c r="H39" s="12">
        <f t="shared" si="11"/>
        <v>0.15330329515227187</v>
      </c>
      <c r="I39" s="12">
        <f t="shared" si="11"/>
        <v>0.12541180412083311</v>
      </c>
      <c r="J39" s="12">
        <f t="shared" si="11"/>
        <v>0.13974622770919068</v>
      </c>
      <c r="K39" s="12">
        <f t="shared" si="11"/>
        <v>0.15586951527682058</v>
      </c>
      <c r="L39" s="12">
        <f t="shared" si="11"/>
        <v>0.15308238547099856</v>
      </c>
      <c r="M39" s="12">
        <f t="shared" si="11"/>
        <v>0.14172085095637901</v>
      </c>
      <c r="N39" s="12">
        <f t="shared" si="11"/>
        <v>0.14864864864864866</v>
      </c>
      <c r="O39" s="12">
        <f t="shared" si="11"/>
        <v>0.10734289879536561</v>
      </c>
      <c r="P39" s="12">
        <f t="shared" si="11"/>
        <v>0.14040571998669771</v>
      </c>
      <c r="Q39" s="12">
        <f t="shared" si="11"/>
        <v>0.14893617021276595</v>
      </c>
      <c r="R39" s="12">
        <f t="shared" si="11"/>
        <v>0.1562558973391206</v>
      </c>
      <c r="S39" s="12">
        <f t="shared" si="11"/>
        <v>0.15592990250524497</v>
      </c>
      <c r="T39" s="12">
        <f t="shared" si="11"/>
        <v>0.14558725945587259</v>
      </c>
      <c r="U39" s="12">
        <f t="shared" si="11"/>
        <v>0.14542063287882687</v>
      </c>
      <c r="V39" s="12">
        <f t="shared" si="11"/>
        <v>0.15102639296187684</v>
      </c>
      <c r="W39" s="12">
        <f t="shared" si="11"/>
        <v>0.15878696553023169</v>
      </c>
      <c r="X39" s="12">
        <f t="shared" si="11"/>
        <v>0.14991169678032876</v>
      </c>
    </row>
    <row r="40" spans="1:24" x14ac:dyDescent="0.25">
      <c r="A40" s="4" t="s">
        <v>31</v>
      </c>
      <c r="B40" s="11"/>
      <c r="C40" s="11"/>
      <c r="D40" s="11"/>
      <c r="E40" s="11"/>
      <c r="F40" s="11"/>
      <c r="G40" s="11"/>
      <c r="H40" s="11"/>
      <c r="I40" s="11"/>
      <c r="J40" s="11"/>
      <c r="K40" s="11"/>
      <c r="L40" s="11"/>
      <c r="M40" s="11"/>
      <c r="N40" s="11"/>
      <c r="O40" s="11"/>
      <c r="P40" s="11"/>
      <c r="Q40" s="11"/>
      <c r="R40" s="11"/>
      <c r="S40" s="11"/>
      <c r="T40" s="11"/>
      <c r="U40" s="11"/>
      <c r="V40" s="11"/>
      <c r="W40" s="11"/>
      <c r="X40" s="11"/>
    </row>
    <row r="41" spans="1:24" x14ac:dyDescent="0.25">
      <c r="A41" s="2" t="s">
        <v>32</v>
      </c>
      <c r="B41" s="11">
        <f t="shared" ref="B41:X44" si="12">B25/B11</f>
        <v>0.15137254901960784</v>
      </c>
      <c r="C41" s="11">
        <f t="shared" si="12"/>
        <v>0.15904265585794247</v>
      </c>
      <c r="D41" s="11">
        <f t="shared" si="12"/>
        <v>0.15736040609137056</v>
      </c>
      <c r="E41" s="11">
        <f t="shared" si="12"/>
        <v>0.15296482412060303</v>
      </c>
      <c r="F41" s="11">
        <f t="shared" si="12"/>
        <v>0.16893732970027248</v>
      </c>
      <c r="G41" s="11">
        <f t="shared" si="12"/>
        <v>0.15959468017732742</v>
      </c>
      <c r="H41" s="11">
        <f t="shared" si="12"/>
        <v>0.16007074950254255</v>
      </c>
      <c r="I41" s="11">
        <f t="shared" si="12"/>
        <v>0.15864227250842561</v>
      </c>
      <c r="J41" s="11">
        <f t="shared" si="12"/>
        <v>0.16848220769789396</v>
      </c>
      <c r="K41" s="11">
        <f t="shared" si="12"/>
        <v>0.1825715720743345</v>
      </c>
      <c r="L41" s="11">
        <f t="shared" si="12"/>
        <v>0.1636615811373093</v>
      </c>
      <c r="M41" s="11">
        <f t="shared" si="12"/>
        <v>0.13679680295112204</v>
      </c>
      <c r="N41" s="11">
        <f t="shared" si="12"/>
        <v>0.15319426336375488</v>
      </c>
      <c r="O41" s="11">
        <f t="shared" si="12"/>
        <v>9.7487814023247091E-2</v>
      </c>
      <c r="P41" s="11">
        <f t="shared" si="12"/>
        <v>0.1265634306134604</v>
      </c>
      <c r="Q41" s="11">
        <f t="shared" si="12"/>
        <v>7.7552256891850954E-2</v>
      </c>
      <c r="R41" s="11">
        <f t="shared" si="12"/>
        <v>0.13498952409458245</v>
      </c>
      <c r="S41" s="11">
        <f t="shared" si="12"/>
        <v>0.14610011641443538</v>
      </c>
      <c r="T41" s="11">
        <f t="shared" si="12"/>
        <v>0.13809245172615564</v>
      </c>
      <c r="U41" s="11">
        <f t="shared" si="12"/>
        <v>0.10960118168389955</v>
      </c>
      <c r="V41" s="11">
        <f t="shared" si="12"/>
        <v>0.15219311156903151</v>
      </c>
      <c r="W41" s="11">
        <f t="shared" si="12"/>
        <v>0.15778567199526347</v>
      </c>
      <c r="X41" s="11">
        <f t="shared" si="12"/>
        <v>0.1307910494799874</v>
      </c>
    </row>
    <row r="42" spans="1:24" x14ac:dyDescent="0.25">
      <c r="A42" s="2" t="s">
        <v>33</v>
      </c>
      <c r="B42" s="11">
        <f t="shared" si="12"/>
        <v>8.543128353281057E-2</v>
      </c>
      <c r="C42" s="11">
        <f t="shared" si="12"/>
        <v>8.8306451612903222E-2</v>
      </c>
      <c r="D42" s="11">
        <f t="shared" si="12"/>
        <v>8.3261058109280139E-2</v>
      </c>
      <c r="E42" s="11">
        <f t="shared" si="12"/>
        <v>9.425333068204414E-2</v>
      </c>
      <c r="F42" s="11">
        <f t="shared" si="12"/>
        <v>8.2568807339449546E-2</v>
      </c>
      <c r="G42" s="11">
        <f t="shared" si="12"/>
        <v>9.0778688524590159E-2</v>
      </c>
      <c r="H42" s="11">
        <f t="shared" si="12"/>
        <v>8.9503484320557491E-2</v>
      </c>
      <c r="I42" s="11">
        <f t="shared" si="12"/>
        <v>0.11611374407582939</v>
      </c>
      <c r="J42" s="11">
        <f t="shared" si="12"/>
        <v>9.1029023746701854E-2</v>
      </c>
      <c r="K42" s="11">
        <f t="shared" si="12"/>
        <v>9.1891891891891897E-2</v>
      </c>
      <c r="L42" s="11">
        <f t="shared" si="12"/>
        <v>7.9944865609924184E-2</v>
      </c>
      <c r="M42" s="11">
        <f t="shared" si="12"/>
        <v>9.4132817537072852E-2</v>
      </c>
      <c r="N42" s="11">
        <f t="shared" si="12"/>
        <v>7.3379244834956073E-2</v>
      </c>
      <c r="O42" s="11">
        <f t="shared" si="12"/>
        <v>4.3916913946587539E-2</v>
      </c>
      <c r="P42" s="11">
        <f t="shared" si="12"/>
        <v>3.6964980544747082E-2</v>
      </c>
      <c r="Q42" s="11">
        <f t="shared" si="12"/>
        <v>6.8039805600555434E-2</v>
      </c>
      <c r="R42" s="11">
        <f t="shared" si="12"/>
        <v>4.6569234580133761E-2</v>
      </c>
      <c r="S42" s="11">
        <f t="shared" si="12"/>
        <v>6.0357675111773472E-2</v>
      </c>
      <c r="T42" s="11">
        <f t="shared" si="12"/>
        <v>4.1308566675907959E-2</v>
      </c>
      <c r="U42" s="11">
        <f t="shared" si="12"/>
        <v>6.8538791051880057E-2</v>
      </c>
      <c r="V42" s="11">
        <f t="shared" si="12"/>
        <v>4.8004174276023999E-2</v>
      </c>
      <c r="W42" s="11">
        <f t="shared" si="12"/>
        <v>5.8539068465258338E-2</v>
      </c>
      <c r="X42" s="11">
        <f t="shared" si="12"/>
        <v>4.3382756727073035E-2</v>
      </c>
    </row>
    <row r="43" spans="1:24" x14ac:dyDescent="0.25">
      <c r="A43" s="2" t="s">
        <v>34</v>
      </c>
      <c r="B43" s="11">
        <f t="shared" si="12"/>
        <v>8.6072568078949321E-3</v>
      </c>
      <c r="C43" s="11">
        <f t="shared" si="12"/>
        <v>1.0013195684235039E-2</v>
      </c>
      <c r="D43" s="11">
        <f t="shared" si="12"/>
        <v>8.6530362202312579E-3</v>
      </c>
      <c r="E43" s="11">
        <f t="shared" si="12"/>
        <v>7.2134458630887971E-5</v>
      </c>
      <c r="F43" s="11">
        <f t="shared" si="12"/>
        <v>8.2541086299653624E-3</v>
      </c>
      <c r="G43" s="11">
        <f t="shared" si="12"/>
        <v>5.7306590257879654E-3</v>
      </c>
      <c r="H43" s="11">
        <f t="shared" si="12"/>
        <v>6.5521374350779064E-3</v>
      </c>
      <c r="I43" s="11">
        <f t="shared" si="12"/>
        <v>3.9470629208265611E-3</v>
      </c>
      <c r="J43" s="11">
        <f t="shared" si="12"/>
        <v>-6.3431652394544877E-4</v>
      </c>
      <c r="K43" s="11">
        <f t="shared" si="12"/>
        <v>6.8320455469703129E-3</v>
      </c>
      <c r="L43" s="11">
        <f t="shared" si="12"/>
        <v>8.8625021510927559E-3</v>
      </c>
      <c r="M43" s="11">
        <f t="shared" si="12"/>
        <v>3.9112320380919989E-3</v>
      </c>
      <c r="N43" s="11">
        <f t="shared" si="12"/>
        <v>7.9734219269102981E-3</v>
      </c>
      <c r="O43" s="11">
        <f t="shared" si="12"/>
        <v>3.9222677839187018E-3</v>
      </c>
      <c r="P43" s="11">
        <f t="shared" si="12"/>
        <v>5.4986887742153791E-3</v>
      </c>
      <c r="Q43" s="11">
        <f t="shared" si="12"/>
        <v>5.1344004832376928E-3</v>
      </c>
      <c r="R43" s="11">
        <f t="shared" si="12"/>
        <v>3.966994604887337E-3</v>
      </c>
      <c r="S43" s="11">
        <f t="shared" si="12"/>
        <v>4.7538473934413024E-3</v>
      </c>
      <c r="T43" s="11">
        <f t="shared" si="12"/>
        <v>9.0991064841380448E-3</v>
      </c>
      <c r="U43" s="11">
        <f t="shared" si="12"/>
        <v>5.9765718383934978E-3</v>
      </c>
      <c r="V43" s="11">
        <f t="shared" si="12"/>
        <v>3.4316019341756356E-3</v>
      </c>
      <c r="W43" s="11">
        <f t="shared" si="12"/>
        <v>5.3914862798744665E-3</v>
      </c>
      <c r="X43" s="11">
        <f t="shared" si="12"/>
        <v>4.9224710804824023E-3</v>
      </c>
    </row>
    <row r="44" spans="1:24" x14ac:dyDescent="0.25">
      <c r="A44" s="4" t="s">
        <v>35</v>
      </c>
      <c r="B44" s="12">
        <f t="shared" si="12"/>
        <v>5.5586389446270756E-2</v>
      </c>
      <c r="C44" s="12">
        <f t="shared" si="12"/>
        <v>6.0415218902015289E-2</v>
      </c>
      <c r="D44" s="12">
        <f t="shared" si="12"/>
        <v>5.802522836015659E-2</v>
      </c>
      <c r="E44" s="12">
        <f t="shared" si="12"/>
        <v>5.1786986215276325E-2</v>
      </c>
      <c r="F44" s="12">
        <f t="shared" si="12"/>
        <v>5.679460580912863E-2</v>
      </c>
      <c r="G44" s="12">
        <f t="shared" si="12"/>
        <v>5.5727960138117927E-2</v>
      </c>
      <c r="H44" s="12">
        <f t="shared" si="12"/>
        <v>5.6264447526583446E-2</v>
      </c>
      <c r="I44" s="12">
        <f t="shared" si="12"/>
        <v>5.8629567731153166E-2</v>
      </c>
      <c r="J44" s="12">
        <f t="shared" si="12"/>
        <v>5.1758959184632004E-2</v>
      </c>
      <c r="K44" s="12">
        <f t="shared" si="12"/>
        <v>5.9702895825498307E-2</v>
      </c>
      <c r="L44" s="12">
        <f t="shared" si="12"/>
        <v>5.3166496424923389E-2</v>
      </c>
      <c r="M44" s="12">
        <f t="shared" si="12"/>
        <v>4.7236487517160725E-2</v>
      </c>
      <c r="N44" s="12">
        <f t="shared" si="12"/>
        <v>4.5292199389202342E-2</v>
      </c>
      <c r="O44" s="12">
        <f t="shared" si="12"/>
        <v>2.6195305708490293E-2</v>
      </c>
      <c r="P44" s="12">
        <f t="shared" si="12"/>
        <v>3.3178889066411033E-2</v>
      </c>
      <c r="Q44" s="12">
        <f t="shared" si="12"/>
        <v>2.9617559666443017E-2</v>
      </c>
      <c r="R44" s="12">
        <f t="shared" si="12"/>
        <v>3.4481032929636675E-2</v>
      </c>
      <c r="S44" s="12">
        <f t="shared" si="12"/>
        <v>4.0456901323403613E-2</v>
      </c>
      <c r="T44" s="12">
        <f t="shared" si="12"/>
        <v>3.8077403245942575E-2</v>
      </c>
      <c r="U44" s="12">
        <f t="shared" si="12"/>
        <v>3.6452125546285262E-2</v>
      </c>
      <c r="V44" s="12">
        <f t="shared" si="12"/>
        <v>3.7153401156991818E-2</v>
      </c>
      <c r="W44" s="12">
        <f t="shared" si="12"/>
        <v>4.205938988547684E-2</v>
      </c>
      <c r="X44" s="12">
        <f t="shared" si="12"/>
        <v>3.3308777099557985E-2</v>
      </c>
    </row>
    <row r="46" spans="1:24" x14ac:dyDescent="0.25">
      <c r="A46" s="4" t="s">
        <v>42</v>
      </c>
      <c r="B46" s="12">
        <f>B29/B15</f>
        <v>0.10280066671361833</v>
      </c>
      <c r="C46" s="12">
        <f>C29/C15</f>
        <v>0.10667996011964108</v>
      </c>
      <c r="D46" s="12">
        <f>D29/D15</f>
        <v>9.5569175609874268E-2</v>
      </c>
      <c r="E46" s="12">
        <f>E29/E15</f>
        <v>8.6632905429278054E-2</v>
      </c>
      <c r="F46" s="12">
        <f t="shared" ref="F46:X46" si="13">F29/F15</f>
        <v>9.9606037592557428E-2</v>
      </c>
      <c r="G46" s="12">
        <f t="shared" si="13"/>
        <v>0.10088860753557947</v>
      </c>
      <c r="H46" s="12">
        <f t="shared" si="13"/>
        <v>0.10089635714464058</v>
      </c>
      <c r="I46" s="12">
        <f t="shared" si="13"/>
        <v>8.8493807431082705E-2</v>
      </c>
      <c r="J46" s="12">
        <f t="shared" si="13"/>
        <v>9.1448165622502381E-2</v>
      </c>
      <c r="K46" s="12">
        <f t="shared" si="13"/>
        <v>0.10298831558266984</v>
      </c>
      <c r="L46" s="12">
        <f t="shared" si="13"/>
        <v>9.7962978615501642E-2</v>
      </c>
      <c r="M46" s="12">
        <f t="shared" si="13"/>
        <v>8.9388306860425815E-2</v>
      </c>
      <c r="N46" s="12">
        <f t="shared" si="13"/>
        <v>9.0753573603177831E-2</v>
      </c>
      <c r="O46" s="12">
        <f t="shared" si="13"/>
        <v>6.1113312202852613E-2</v>
      </c>
      <c r="P46" s="12">
        <f t="shared" si="13"/>
        <v>8.0858866674553415E-2</v>
      </c>
      <c r="Q46" s="12">
        <f t="shared" si="13"/>
        <v>8.058095159651868E-2</v>
      </c>
      <c r="R46" s="12">
        <f t="shared" si="13"/>
        <v>8.8436132556648742E-2</v>
      </c>
      <c r="S46" s="12">
        <f t="shared" si="13"/>
        <v>9.2325175309736968E-2</v>
      </c>
      <c r="T46" s="12">
        <f t="shared" si="13"/>
        <v>8.5321047413541726E-2</v>
      </c>
      <c r="U46" s="12">
        <f t="shared" si="13"/>
        <v>8.393117363524269E-2</v>
      </c>
      <c r="V46" s="12">
        <f t="shared" si="13"/>
        <v>8.7134142929095076E-2</v>
      </c>
      <c r="W46" s="12">
        <f t="shared" si="13"/>
        <v>9.4192535262611815E-2</v>
      </c>
      <c r="X46" s="12">
        <f t="shared" si="13"/>
        <v>8.420802941350887E-2</v>
      </c>
    </row>
    <row r="49" spans="1:21" x14ac:dyDescent="0.25">
      <c r="A49" s="13" t="s">
        <v>43</v>
      </c>
      <c r="B49" s="14" t="s">
        <v>44</v>
      </c>
      <c r="C49" s="14"/>
      <c r="D49" s="14"/>
      <c r="E49" s="14"/>
      <c r="F49" s="14"/>
      <c r="G49" s="14"/>
      <c r="H49" s="14"/>
      <c r="I49" s="14"/>
      <c r="J49" s="14"/>
      <c r="K49" s="14"/>
      <c r="L49" s="14"/>
      <c r="M49" s="14"/>
      <c r="N49" s="14"/>
      <c r="O49" s="14"/>
      <c r="P49" s="14"/>
      <c r="Q49" s="14"/>
      <c r="R49" s="14"/>
      <c r="S49" s="14"/>
      <c r="T49" s="14"/>
      <c r="U49" s="14"/>
    </row>
    <row r="50" spans="1:21" x14ac:dyDescent="0.25">
      <c r="A50" s="15" t="s">
        <v>1</v>
      </c>
      <c r="B50" s="16">
        <v>45199</v>
      </c>
      <c r="C50" s="16">
        <v>45107</v>
      </c>
      <c r="D50" s="16">
        <v>45016</v>
      </c>
      <c r="E50" s="16">
        <v>44926</v>
      </c>
      <c r="F50" s="16">
        <v>44834</v>
      </c>
      <c r="G50" s="16">
        <v>44742</v>
      </c>
      <c r="H50" s="16">
        <v>44651</v>
      </c>
      <c r="I50" s="16">
        <v>44561</v>
      </c>
      <c r="J50" s="16">
        <v>44469</v>
      </c>
      <c r="K50" s="16">
        <v>44377</v>
      </c>
      <c r="L50" s="16">
        <v>44286</v>
      </c>
      <c r="M50" s="16">
        <v>44196</v>
      </c>
      <c r="N50" s="16">
        <v>44104</v>
      </c>
      <c r="O50" s="16">
        <v>44012</v>
      </c>
      <c r="P50" s="16">
        <v>43921</v>
      </c>
      <c r="Q50" s="16">
        <v>43830</v>
      </c>
      <c r="R50" s="16">
        <v>43738</v>
      </c>
      <c r="S50" s="16">
        <v>43646</v>
      </c>
      <c r="T50" s="16">
        <v>43555</v>
      </c>
      <c r="U50" s="16">
        <v>43465</v>
      </c>
    </row>
    <row r="51" spans="1:21" x14ac:dyDescent="0.25">
      <c r="A51" s="4" t="s">
        <v>25</v>
      </c>
    </row>
    <row r="52" spans="1:21" x14ac:dyDescent="0.25">
      <c r="A52" s="4" t="s">
        <v>26</v>
      </c>
    </row>
    <row r="53" spans="1:21" x14ac:dyDescent="0.25">
      <c r="A53" s="2" t="s">
        <v>27</v>
      </c>
      <c r="B53" s="17">
        <f>SUM(B6:E6)</f>
        <v>34318</v>
      </c>
      <c r="C53" s="17">
        <f t="shared" ref="B53:K55" si="14">SUM(C6:F6)</f>
        <v>33374</v>
      </c>
      <c r="D53" s="17">
        <f t="shared" si="14"/>
        <v>32212</v>
      </c>
      <c r="E53" s="17">
        <f t="shared" si="14"/>
        <v>30824</v>
      </c>
      <c r="F53" s="17">
        <f t="shared" si="14"/>
        <v>30038</v>
      </c>
      <c r="G53" s="17">
        <f t="shared" si="14"/>
        <v>29507</v>
      </c>
      <c r="H53" s="17">
        <f t="shared" si="14"/>
        <v>28979</v>
      </c>
      <c r="I53" s="17">
        <f t="shared" si="14"/>
        <v>28176</v>
      </c>
      <c r="J53" s="17">
        <f t="shared" si="14"/>
        <v>27397</v>
      </c>
      <c r="K53" s="17">
        <f t="shared" si="14"/>
        <v>26378</v>
      </c>
      <c r="L53" s="17">
        <f t="shared" ref="L53:U55" si="15">SUM(L6:O6)</f>
        <v>24981</v>
      </c>
      <c r="M53" s="17">
        <f t="shared" si="15"/>
        <v>25667</v>
      </c>
      <c r="N53" s="17">
        <f t="shared" si="15"/>
        <v>26634</v>
      </c>
      <c r="O53" s="17">
        <f t="shared" si="15"/>
        <v>28177</v>
      </c>
      <c r="P53" s="17">
        <f t="shared" si="15"/>
        <v>30275</v>
      </c>
      <c r="Q53" s="17">
        <f t="shared" si="15"/>
        <v>30594</v>
      </c>
      <c r="R53" s="17">
        <f t="shared" si="15"/>
        <v>30816</v>
      </c>
      <c r="S53" s="17">
        <f t="shared" si="15"/>
        <v>30773</v>
      </c>
      <c r="T53" s="17">
        <f t="shared" si="15"/>
        <v>30737</v>
      </c>
      <c r="U53" s="17">
        <f t="shared" si="15"/>
        <v>30679</v>
      </c>
    </row>
    <row r="54" spans="1:21" x14ac:dyDescent="0.25">
      <c r="A54" s="2" t="s">
        <v>28</v>
      </c>
      <c r="B54" s="17">
        <f t="shared" si="14"/>
        <v>26327</v>
      </c>
      <c r="C54" s="17">
        <f t="shared" si="14"/>
        <v>27177</v>
      </c>
      <c r="D54" s="17">
        <f t="shared" si="14"/>
        <v>28194</v>
      </c>
      <c r="E54" s="17">
        <f t="shared" si="14"/>
        <v>28896</v>
      </c>
      <c r="F54" s="17">
        <f t="shared" si="14"/>
        <v>28581</v>
      </c>
      <c r="G54" s="17">
        <f t="shared" si="14"/>
        <v>27366</v>
      </c>
      <c r="H54" s="17">
        <f t="shared" si="14"/>
        <v>26058</v>
      </c>
      <c r="I54" s="17">
        <f t="shared" si="14"/>
        <v>24974</v>
      </c>
      <c r="J54" s="17">
        <f t="shared" si="14"/>
        <v>24151</v>
      </c>
      <c r="K54" s="17">
        <f t="shared" si="14"/>
        <v>23449</v>
      </c>
      <c r="L54" s="17">
        <f t="shared" si="15"/>
        <v>22015</v>
      </c>
      <c r="M54" s="17">
        <f t="shared" si="15"/>
        <v>21244</v>
      </c>
      <c r="N54" s="17">
        <f t="shared" si="15"/>
        <v>20612</v>
      </c>
      <c r="O54" s="17">
        <f t="shared" si="15"/>
        <v>20221</v>
      </c>
      <c r="P54" s="17">
        <f t="shared" si="15"/>
        <v>20622</v>
      </c>
      <c r="Q54" s="17">
        <f t="shared" si="15"/>
        <v>20327</v>
      </c>
      <c r="R54" s="17">
        <f t="shared" si="15"/>
        <v>19990</v>
      </c>
      <c r="S54" s="17">
        <f t="shared" si="15"/>
        <v>19678</v>
      </c>
      <c r="T54" s="17">
        <f t="shared" si="15"/>
        <v>19159</v>
      </c>
      <c r="U54" s="17">
        <f t="shared" si="15"/>
        <v>18677</v>
      </c>
    </row>
    <row r="55" spans="1:21" x14ac:dyDescent="0.25">
      <c r="A55" s="2" t="s">
        <v>29</v>
      </c>
      <c r="B55" s="17">
        <f t="shared" si="14"/>
        <v>14508</v>
      </c>
      <c r="C55" s="17">
        <f t="shared" si="14"/>
        <v>14428</v>
      </c>
      <c r="D55" s="17">
        <f t="shared" si="14"/>
        <v>15243</v>
      </c>
      <c r="E55" s="17">
        <f t="shared" si="14"/>
        <v>16061</v>
      </c>
      <c r="F55" s="17">
        <f t="shared" si="14"/>
        <v>16483</v>
      </c>
      <c r="G55" s="17">
        <f t="shared" si="14"/>
        <v>16725</v>
      </c>
      <c r="H55" s="17">
        <f t="shared" si="14"/>
        <v>16201</v>
      </c>
      <c r="I55" s="17">
        <f t="shared" si="14"/>
        <v>15580</v>
      </c>
      <c r="J55" s="17">
        <f t="shared" si="14"/>
        <v>15114</v>
      </c>
      <c r="K55" s="17">
        <f t="shared" si="14"/>
        <v>14509</v>
      </c>
      <c r="L55" s="17">
        <f t="shared" si="15"/>
        <v>12961</v>
      </c>
      <c r="M55" s="17">
        <f t="shared" si="15"/>
        <v>12168</v>
      </c>
      <c r="N55" s="17">
        <f t="shared" si="15"/>
        <v>11549</v>
      </c>
      <c r="O55" s="17">
        <f t="shared" si="15"/>
        <v>11124</v>
      </c>
      <c r="P55" s="17">
        <f t="shared" si="15"/>
        <v>11798</v>
      </c>
      <c r="Q55" s="17">
        <f t="shared" si="15"/>
        <v>11809</v>
      </c>
      <c r="R55" s="17">
        <f t="shared" si="15"/>
        <v>11915</v>
      </c>
      <c r="S55" s="17">
        <f t="shared" si="15"/>
        <v>12059</v>
      </c>
      <c r="T55" s="17">
        <f t="shared" si="15"/>
        <v>12335</v>
      </c>
      <c r="U55" s="17">
        <f t="shared" si="15"/>
        <v>12527</v>
      </c>
    </row>
    <row r="56" spans="1:21" x14ac:dyDescent="0.25">
      <c r="A56" s="4" t="s">
        <v>30</v>
      </c>
      <c r="B56" s="18">
        <f>SUM(B53:B55)</f>
        <v>75153</v>
      </c>
      <c r="C56" s="18">
        <f>SUM(C53:C55)</f>
        <v>74979</v>
      </c>
      <c r="D56" s="18">
        <f>SUM(D53:D55)</f>
        <v>75649</v>
      </c>
      <c r="E56" s="18">
        <f>SUM(E53:E55)</f>
        <v>75781</v>
      </c>
      <c r="F56" s="18">
        <f t="shared" ref="F56:U56" si="16">SUM(F53:F55)</f>
        <v>75102</v>
      </c>
      <c r="G56" s="18">
        <f t="shared" si="16"/>
        <v>73598</v>
      </c>
      <c r="H56" s="18">
        <f t="shared" si="16"/>
        <v>71238</v>
      </c>
      <c r="I56" s="18">
        <f t="shared" si="16"/>
        <v>68730</v>
      </c>
      <c r="J56" s="18">
        <f t="shared" si="16"/>
        <v>66662</v>
      </c>
      <c r="K56" s="18">
        <f t="shared" si="16"/>
        <v>64336</v>
      </c>
      <c r="L56" s="18">
        <f t="shared" si="16"/>
        <v>59957</v>
      </c>
      <c r="M56" s="18">
        <f t="shared" si="16"/>
        <v>59079</v>
      </c>
      <c r="N56" s="18">
        <f t="shared" si="16"/>
        <v>58795</v>
      </c>
      <c r="O56" s="18">
        <f t="shared" si="16"/>
        <v>59522</v>
      </c>
      <c r="P56" s="18">
        <f t="shared" si="16"/>
        <v>62695</v>
      </c>
      <c r="Q56" s="18">
        <f t="shared" si="16"/>
        <v>62730</v>
      </c>
      <c r="R56" s="18">
        <f t="shared" si="16"/>
        <v>62721</v>
      </c>
      <c r="S56" s="18">
        <f t="shared" si="16"/>
        <v>62510</v>
      </c>
      <c r="T56" s="18">
        <f t="shared" si="16"/>
        <v>62231</v>
      </c>
      <c r="U56" s="18">
        <f t="shared" si="16"/>
        <v>61883</v>
      </c>
    </row>
    <row r="57" spans="1:21" x14ac:dyDescent="0.25">
      <c r="A57" s="4" t="s">
        <v>31</v>
      </c>
    </row>
    <row r="58" spans="1:21" x14ac:dyDescent="0.25">
      <c r="A58" s="2" t="s">
        <v>32</v>
      </c>
      <c r="B58" s="17">
        <f t="shared" ref="B58:U60" si="17">SUM(B11:E11)</f>
        <v>20575</v>
      </c>
      <c r="C58" s="17">
        <f t="shared" si="17"/>
        <v>20246</v>
      </c>
      <c r="D58" s="17">
        <f t="shared" si="17"/>
        <v>19802</v>
      </c>
      <c r="E58" s="17">
        <f t="shared" si="17"/>
        <v>19006</v>
      </c>
      <c r="F58" s="17">
        <f t="shared" si="17"/>
        <v>18185</v>
      </c>
      <c r="G58" s="17">
        <f t="shared" si="17"/>
        <v>17545</v>
      </c>
      <c r="H58" s="17">
        <f t="shared" si="17"/>
        <v>16790</v>
      </c>
      <c r="I58" s="17">
        <f t="shared" si="17"/>
        <v>15872</v>
      </c>
      <c r="J58" s="17">
        <f t="shared" si="17"/>
        <v>14971</v>
      </c>
      <c r="K58" s="17">
        <f t="shared" si="17"/>
        <v>13908</v>
      </c>
      <c r="L58" s="17">
        <f t="shared" si="17"/>
        <v>12593</v>
      </c>
      <c r="M58" s="17">
        <f t="shared" si="17"/>
        <v>12346</v>
      </c>
      <c r="N58" s="17">
        <f t="shared" si="17"/>
        <v>12394</v>
      </c>
      <c r="O58" s="17">
        <f t="shared" si="17"/>
        <v>12667</v>
      </c>
      <c r="P58" s="17">
        <f t="shared" si="17"/>
        <v>13436</v>
      </c>
      <c r="Q58" s="17">
        <f t="shared" si="17"/>
        <v>13496</v>
      </c>
      <c r="R58" s="17">
        <f t="shared" si="17"/>
        <v>13580</v>
      </c>
      <c r="S58" s="17">
        <f t="shared" si="17"/>
        <v>13636</v>
      </c>
      <c r="T58" s="17">
        <f t="shared" si="17"/>
        <v>13578</v>
      </c>
      <c r="U58" s="17">
        <f t="shared" si="17"/>
        <v>13333</v>
      </c>
    </row>
    <row r="59" spans="1:21" x14ac:dyDescent="0.25">
      <c r="A59" s="2" t="s">
        <v>33</v>
      </c>
      <c r="B59" s="17">
        <f t="shared" si="17"/>
        <v>19447</v>
      </c>
      <c r="C59" s="17">
        <f t="shared" si="17"/>
        <v>19397</v>
      </c>
      <c r="D59" s="17">
        <f t="shared" si="17"/>
        <v>19317</v>
      </c>
      <c r="E59" s="17">
        <f t="shared" si="17"/>
        <v>19297</v>
      </c>
      <c r="F59" s="17">
        <f t="shared" si="17"/>
        <v>19332</v>
      </c>
      <c r="G59" s="17">
        <f t="shared" si="17"/>
        <v>19084</v>
      </c>
      <c r="H59" s="17">
        <f t="shared" si="17"/>
        <v>19199</v>
      </c>
      <c r="I59" s="17">
        <f t="shared" si="17"/>
        <v>18960</v>
      </c>
      <c r="J59" s="17">
        <f t="shared" si="17"/>
        <v>18549</v>
      </c>
      <c r="K59" s="17">
        <f t="shared" si="17"/>
        <v>18212</v>
      </c>
      <c r="L59" s="17">
        <f t="shared" si="17"/>
        <v>16587</v>
      </c>
      <c r="M59" s="17">
        <f t="shared" si="17"/>
        <v>15832</v>
      </c>
      <c r="N59" s="17">
        <f t="shared" si="17"/>
        <v>15500</v>
      </c>
      <c r="O59" s="17">
        <f t="shared" si="17"/>
        <v>15326</v>
      </c>
      <c r="P59" s="17">
        <f t="shared" si="17"/>
        <v>15982</v>
      </c>
      <c r="Q59" s="17">
        <f t="shared" si="17"/>
        <v>15991</v>
      </c>
      <c r="R59" s="17">
        <f t="shared" si="17"/>
        <v>15872</v>
      </c>
      <c r="S59" s="17">
        <f t="shared" si="17"/>
        <v>15668</v>
      </c>
      <c r="T59" s="17">
        <f t="shared" si="17"/>
        <v>15571</v>
      </c>
      <c r="U59" s="17">
        <f t="shared" si="17"/>
        <v>15606</v>
      </c>
    </row>
    <row r="60" spans="1:21" x14ac:dyDescent="0.25">
      <c r="A60" s="2" t="s">
        <v>34</v>
      </c>
      <c r="B60" s="17">
        <f t="shared" si="17"/>
        <v>53282</v>
      </c>
      <c r="C60" s="17">
        <f t="shared" si="17"/>
        <v>53374</v>
      </c>
      <c r="D60" s="17">
        <f t="shared" si="17"/>
        <v>53753</v>
      </c>
      <c r="E60" s="17">
        <f t="shared" si="17"/>
        <v>53209</v>
      </c>
      <c r="F60" s="17">
        <f t="shared" si="17"/>
        <v>52267</v>
      </c>
      <c r="G60" s="17">
        <f t="shared" si="17"/>
        <v>51310</v>
      </c>
      <c r="H60" s="17">
        <f t="shared" si="17"/>
        <v>50343</v>
      </c>
      <c r="I60" s="17">
        <f t="shared" si="17"/>
        <v>49450</v>
      </c>
      <c r="J60" s="17">
        <f t="shared" si="17"/>
        <v>48290</v>
      </c>
      <c r="K60" s="17">
        <f t="shared" si="17"/>
        <v>47718</v>
      </c>
      <c r="L60" s="17">
        <f t="shared" si="17"/>
        <v>46641</v>
      </c>
      <c r="M60" s="17">
        <f t="shared" si="17"/>
        <v>46840</v>
      </c>
      <c r="N60" s="17">
        <f t="shared" si="17"/>
        <v>48323</v>
      </c>
      <c r="O60" s="17">
        <f t="shared" si="17"/>
        <v>48887</v>
      </c>
      <c r="P60" s="17">
        <f t="shared" si="17"/>
        <v>50080</v>
      </c>
      <c r="Q60" s="17">
        <f t="shared" si="17"/>
        <v>50458</v>
      </c>
      <c r="R60" s="17">
        <f t="shared" si="17"/>
        <v>49763</v>
      </c>
      <c r="S60" s="17">
        <f t="shared" si="17"/>
        <v>49981</v>
      </c>
      <c r="T60" s="17">
        <f t="shared" si="17"/>
        <v>49997</v>
      </c>
      <c r="U60" s="17">
        <f t="shared" si="17"/>
        <v>49987</v>
      </c>
    </row>
    <row r="61" spans="1:21" x14ac:dyDescent="0.25">
      <c r="A61" s="4" t="s">
        <v>35</v>
      </c>
      <c r="B61" s="18">
        <f>SUM(B58:B60)</f>
        <v>93304</v>
      </c>
      <c r="C61" s="18">
        <f>SUM(C58:C60)</f>
        <v>93017</v>
      </c>
      <c r="D61" s="18">
        <f>SUM(D58:D60)</f>
        <v>92872</v>
      </c>
      <c r="E61" s="18">
        <f>SUM(E58:E60)</f>
        <v>91512</v>
      </c>
      <c r="F61" s="18">
        <f t="shared" ref="F61:U61" si="18">SUM(F58:F60)</f>
        <v>89784</v>
      </c>
      <c r="G61" s="18">
        <f t="shared" si="18"/>
        <v>87939</v>
      </c>
      <c r="H61" s="18">
        <f t="shared" si="18"/>
        <v>86332</v>
      </c>
      <c r="I61" s="18">
        <f t="shared" si="18"/>
        <v>84282</v>
      </c>
      <c r="J61" s="18">
        <f t="shared" si="18"/>
        <v>81810</v>
      </c>
      <c r="K61" s="18">
        <f t="shared" si="18"/>
        <v>79838</v>
      </c>
      <c r="L61" s="18">
        <f t="shared" si="18"/>
        <v>75821</v>
      </c>
      <c r="M61" s="18">
        <f t="shared" si="18"/>
        <v>75018</v>
      </c>
      <c r="N61" s="18">
        <f t="shared" si="18"/>
        <v>76217</v>
      </c>
      <c r="O61" s="18">
        <f t="shared" si="18"/>
        <v>76880</v>
      </c>
      <c r="P61" s="18">
        <f t="shared" si="18"/>
        <v>79498</v>
      </c>
      <c r="Q61" s="18">
        <f t="shared" si="18"/>
        <v>79945</v>
      </c>
      <c r="R61" s="18">
        <f t="shared" si="18"/>
        <v>79215</v>
      </c>
      <c r="S61" s="18">
        <f t="shared" si="18"/>
        <v>79285</v>
      </c>
      <c r="T61" s="18">
        <f t="shared" si="18"/>
        <v>79146</v>
      </c>
      <c r="U61" s="18">
        <f t="shared" si="18"/>
        <v>78926</v>
      </c>
    </row>
    <row r="62" spans="1:21" ht="20" thickBot="1" x14ac:dyDescent="0.3">
      <c r="A62" s="4" t="s">
        <v>36</v>
      </c>
      <c r="B62" s="8">
        <f>B61+B56</f>
        <v>168457</v>
      </c>
      <c r="C62" s="8">
        <f>C61+C56</f>
        <v>167996</v>
      </c>
      <c r="D62" s="8">
        <f>D61+D56</f>
        <v>168521</v>
      </c>
      <c r="E62" s="8">
        <f>E61+E56</f>
        <v>167293</v>
      </c>
      <c r="F62" s="8">
        <f t="shared" ref="F62:U62" si="19">F61+F56</f>
        <v>164886</v>
      </c>
      <c r="G62" s="8">
        <f t="shared" si="19"/>
        <v>161537</v>
      </c>
      <c r="H62" s="8">
        <f t="shared" si="19"/>
        <v>157570</v>
      </c>
      <c r="I62" s="8">
        <f t="shared" si="19"/>
        <v>153012</v>
      </c>
      <c r="J62" s="8">
        <f t="shared" si="19"/>
        <v>148472</v>
      </c>
      <c r="K62" s="8">
        <f t="shared" si="19"/>
        <v>144174</v>
      </c>
      <c r="L62" s="8">
        <f t="shared" si="19"/>
        <v>135778</v>
      </c>
      <c r="M62" s="8">
        <f t="shared" si="19"/>
        <v>134097</v>
      </c>
      <c r="N62" s="8">
        <f t="shared" si="19"/>
        <v>135012</v>
      </c>
      <c r="O62" s="8">
        <f t="shared" si="19"/>
        <v>136402</v>
      </c>
      <c r="P62" s="8">
        <f t="shared" si="19"/>
        <v>142193</v>
      </c>
      <c r="Q62" s="8">
        <f t="shared" si="19"/>
        <v>142675</v>
      </c>
      <c r="R62" s="8">
        <f t="shared" si="19"/>
        <v>141936</v>
      </c>
      <c r="S62" s="8">
        <f t="shared" si="19"/>
        <v>141795</v>
      </c>
      <c r="T62" s="8">
        <f t="shared" si="19"/>
        <v>141377</v>
      </c>
      <c r="U62" s="8">
        <f t="shared" si="19"/>
        <v>140809</v>
      </c>
    </row>
    <row r="63" spans="1:21" ht="20" thickTop="1" x14ac:dyDescent="0.25"/>
    <row r="65" spans="1:21" x14ac:dyDescent="0.25">
      <c r="A65" s="13" t="s">
        <v>45</v>
      </c>
      <c r="B65" s="14" t="s">
        <v>44</v>
      </c>
      <c r="C65" s="14"/>
      <c r="D65" s="14"/>
      <c r="E65" s="14"/>
      <c r="F65" s="14"/>
      <c r="G65" s="14"/>
      <c r="H65" s="14"/>
      <c r="I65" s="14"/>
      <c r="J65" s="14"/>
      <c r="K65" s="14"/>
      <c r="L65" s="14"/>
      <c r="M65" s="14"/>
      <c r="N65" s="14"/>
      <c r="O65" s="14"/>
      <c r="P65" s="14"/>
      <c r="Q65" s="14"/>
      <c r="R65" s="14"/>
      <c r="S65" s="14"/>
      <c r="T65" s="14"/>
      <c r="U65" s="14"/>
    </row>
    <row r="66" spans="1:21" x14ac:dyDescent="0.25">
      <c r="A66" s="15" t="s">
        <v>1</v>
      </c>
      <c r="B66" s="16">
        <v>45199</v>
      </c>
      <c r="C66" s="16">
        <v>45107</v>
      </c>
      <c r="D66" s="16">
        <v>45016</v>
      </c>
      <c r="E66" s="16">
        <v>44926</v>
      </c>
      <c r="F66" s="16">
        <v>44834</v>
      </c>
      <c r="G66" s="16">
        <v>44742</v>
      </c>
      <c r="H66" s="16">
        <v>44651</v>
      </c>
      <c r="I66" s="16">
        <v>44561</v>
      </c>
      <c r="J66" s="16">
        <v>44469</v>
      </c>
      <c r="K66" s="16">
        <v>44377</v>
      </c>
      <c r="L66" s="16">
        <v>44286</v>
      </c>
      <c r="M66" s="16">
        <v>44196</v>
      </c>
      <c r="N66" s="16">
        <v>44104</v>
      </c>
      <c r="O66" s="16">
        <v>44012</v>
      </c>
      <c r="P66" s="16">
        <v>43921</v>
      </c>
      <c r="Q66" s="16">
        <v>43830</v>
      </c>
      <c r="R66" s="16">
        <v>43738</v>
      </c>
      <c r="S66" s="16">
        <v>43646</v>
      </c>
      <c r="T66" s="16">
        <v>43555</v>
      </c>
      <c r="U66" s="16">
        <v>43465</v>
      </c>
    </row>
    <row r="67" spans="1:21" x14ac:dyDescent="0.25">
      <c r="A67" s="4" t="s">
        <v>37</v>
      </c>
    </row>
    <row r="68" spans="1:21" x14ac:dyDescent="0.25">
      <c r="A68" s="4" t="s">
        <v>26</v>
      </c>
    </row>
    <row r="69" spans="1:21" x14ac:dyDescent="0.25">
      <c r="A69" s="2" t="s">
        <v>27</v>
      </c>
      <c r="B69" s="17">
        <f t="shared" ref="B69:U71" si="20">SUM(B20:E20)</f>
        <v>5389</v>
      </c>
      <c r="C69" s="17">
        <f t="shared" si="20"/>
        <v>5337</v>
      </c>
      <c r="D69" s="17">
        <f t="shared" si="20"/>
        <v>5087</v>
      </c>
      <c r="E69" s="17">
        <f t="shared" si="20"/>
        <v>4862</v>
      </c>
      <c r="F69" s="17">
        <f t="shared" si="20"/>
        <v>4822</v>
      </c>
      <c r="G69" s="17">
        <f t="shared" si="20"/>
        <v>4571</v>
      </c>
      <c r="H69" s="17">
        <f t="shared" si="20"/>
        <v>4543</v>
      </c>
      <c r="I69" s="17">
        <f t="shared" si="20"/>
        <v>4469</v>
      </c>
      <c r="J69" s="17">
        <f t="shared" si="20"/>
        <v>4482</v>
      </c>
      <c r="K69" s="17">
        <f t="shared" si="20"/>
        <v>4298</v>
      </c>
      <c r="L69" s="17">
        <f t="shared" si="20"/>
        <v>3591</v>
      </c>
      <c r="M69" s="17">
        <f t="shared" si="20"/>
        <v>3755</v>
      </c>
      <c r="N69" s="17">
        <f t="shared" si="20"/>
        <v>3975</v>
      </c>
      <c r="O69" s="17">
        <f t="shared" si="20"/>
        <v>4493</v>
      </c>
      <c r="P69" s="17">
        <f t="shared" si="20"/>
        <v>5510</v>
      </c>
      <c r="Q69" s="17">
        <f t="shared" si="20"/>
        <v>5635</v>
      </c>
      <c r="R69" s="17">
        <f t="shared" si="20"/>
        <v>5782</v>
      </c>
      <c r="S69" s="17">
        <f t="shared" si="20"/>
        <v>5773</v>
      </c>
      <c r="T69" s="17">
        <f t="shared" si="20"/>
        <v>5785</v>
      </c>
      <c r="U69" s="17">
        <f t="shared" si="20"/>
        <v>5821</v>
      </c>
    </row>
    <row r="70" spans="1:21" x14ac:dyDescent="0.25">
      <c r="A70" s="2" t="s">
        <v>28</v>
      </c>
      <c r="B70" s="17">
        <f t="shared" si="20"/>
        <v>4391</v>
      </c>
      <c r="C70" s="17">
        <f t="shared" si="20"/>
        <v>4460</v>
      </c>
      <c r="D70" s="17">
        <f t="shared" si="20"/>
        <v>4540</v>
      </c>
      <c r="E70" s="17">
        <f t="shared" si="20"/>
        <v>4789</v>
      </c>
      <c r="F70" s="17">
        <f t="shared" si="20"/>
        <v>4501</v>
      </c>
      <c r="G70" s="17">
        <f t="shared" si="20"/>
        <v>4098</v>
      </c>
      <c r="H70" s="17">
        <f t="shared" si="20"/>
        <v>3764</v>
      </c>
      <c r="I70" s="17">
        <f t="shared" si="20"/>
        <v>3390</v>
      </c>
      <c r="J70" s="17">
        <f t="shared" si="20"/>
        <v>3346</v>
      </c>
      <c r="K70" s="17">
        <f t="shared" si="20"/>
        <v>3338</v>
      </c>
      <c r="L70" s="17">
        <f t="shared" si="20"/>
        <v>3061</v>
      </c>
      <c r="M70" s="17">
        <f t="shared" si="20"/>
        <v>2858</v>
      </c>
      <c r="N70" s="17">
        <f t="shared" si="20"/>
        <v>2820</v>
      </c>
      <c r="O70" s="17">
        <f t="shared" si="20"/>
        <v>2691</v>
      </c>
      <c r="P70" s="17">
        <f t="shared" si="20"/>
        <v>2721</v>
      </c>
      <c r="Q70" s="17">
        <f t="shared" si="20"/>
        <v>2636</v>
      </c>
      <c r="R70" s="17">
        <f t="shared" si="20"/>
        <v>2564</v>
      </c>
      <c r="S70" s="17">
        <f t="shared" si="20"/>
        <v>2448</v>
      </c>
      <c r="T70" s="17">
        <f t="shared" si="20"/>
        <v>2371</v>
      </c>
      <c r="U70" s="17">
        <f t="shared" si="20"/>
        <v>2336</v>
      </c>
    </row>
    <row r="71" spans="1:21" x14ac:dyDescent="0.25">
      <c r="A71" s="2" t="s">
        <v>29</v>
      </c>
      <c r="B71" s="17">
        <f t="shared" si="20"/>
        <v>1453</v>
      </c>
      <c r="C71" s="17">
        <f t="shared" si="20"/>
        <v>1242</v>
      </c>
      <c r="D71" s="17">
        <f t="shared" si="20"/>
        <v>1337</v>
      </c>
      <c r="E71" s="17">
        <f t="shared" si="20"/>
        <v>1526</v>
      </c>
      <c r="F71" s="17">
        <f t="shared" si="20"/>
        <v>1658</v>
      </c>
      <c r="G71" s="17">
        <f t="shared" si="20"/>
        <v>1874</v>
      </c>
      <c r="H71" s="17">
        <f t="shared" si="20"/>
        <v>1922</v>
      </c>
      <c r="I71" s="17">
        <f t="shared" si="20"/>
        <v>1982</v>
      </c>
      <c r="J71" s="17">
        <f t="shared" si="20"/>
        <v>2012</v>
      </c>
      <c r="K71" s="17">
        <f t="shared" si="20"/>
        <v>2014</v>
      </c>
      <c r="L71" s="17">
        <f t="shared" si="20"/>
        <v>1683</v>
      </c>
      <c r="M71" s="17">
        <f t="shared" si="20"/>
        <v>1397</v>
      </c>
      <c r="N71" s="17">
        <f t="shared" si="20"/>
        <v>1287</v>
      </c>
      <c r="O71" s="17">
        <f t="shared" si="20"/>
        <v>1127</v>
      </c>
      <c r="P71" s="17">
        <f t="shared" si="20"/>
        <v>1208</v>
      </c>
      <c r="Q71" s="17">
        <f t="shared" si="20"/>
        <v>1251</v>
      </c>
      <c r="R71" s="17">
        <f t="shared" si="20"/>
        <v>1120</v>
      </c>
      <c r="S71" s="17">
        <f t="shared" si="20"/>
        <v>1130</v>
      </c>
      <c r="T71" s="17">
        <f t="shared" si="20"/>
        <v>1197</v>
      </c>
      <c r="U71" s="17">
        <f t="shared" si="20"/>
        <v>1209</v>
      </c>
    </row>
    <row r="72" spans="1:21" x14ac:dyDescent="0.25">
      <c r="A72" s="4" t="s">
        <v>30</v>
      </c>
      <c r="B72" s="18">
        <f>SUM(B69:B71)</f>
        <v>11233</v>
      </c>
      <c r="C72" s="18">
        <f>SUM(C69:C71)</f>
        <v>11039</v>
      </c>
      <c r="D72" s="18">
        <f>SUM(D69:D71)</f>
        <v>10964</v>
      </c>
      <c r="E72" s="18">
        <f>SUM(E69:E71)</f>
        <v>11177</v>
      </c>
      <c r="F72" s="18">
        <f t="shared" ref="F72:U72" si="21">SUM(F69:F71)</f>
        <v>10981</v>
      </c>
      <c r="G72" s="18">
        <f t="shared" si="21"/>
        <v>10543</v>
      </c>
      <c r="H72" s="18">
        <f t="shared" si="21"/>
        <v>10229</v>
      </c>
      <c r="I72" s="18">
        <f t="shared" si="21"/>
        <v>9841</v>
      </c>
      <c r="J72" s="18">
        <f t="shared" si="21"/>
        <v>9840</v>
      </c>
      <c r="K72" s="18">
        <f t="shared" si="21"/>
        <v>9650</v>
      </c>
      <c r="L72" s="18">
        <f t="shared" si="21"/>
        <v>8335</v>
      </c>
      <c r="M72" s="18">
        <f t="shared" si="21"/>
        <v>8010</v>
      </c>
      <c r="N72" s="18">
        <f t="shared" si="21"/>
        <v>8082</v>
      </c>
      <c r="O72" s="18">
        <f t="shared" si="21"/>
        <v>8311</v>
      </c>
      <c r="P72" s="18">
        <f t="shared" si="21"/>
        <v>9439</v>
      </c>
      <c r="Q72" s="18">
        <f t="shared" si="21"/>
        <v>9522</v>
      </c>
      <c r="R72" s="18">
        <f t="shared" si="21"/>
        <v>9466</v>
      </c>
      <c r="S72" s="18">
        <f t="shared" si="21"/>
        <v>9351</v>
      </c>
      <c r="T72" s="18">
        <f t="shared" si="21"/>
        <v>9353</v>
      </c>
      <c r="U72" s="18">
        <f t="shared" si="21"/>
        <v>9366</v>
      </c>
    </row>
    <row r="73" spans="1:21" x14ac:dyDescent="0.25">
      <c r="A73" s="4" t="s">
        <v>31</v>
      </c>
    </row>
    <row r="74" spans="1:21" x14ac:dyDescent="0.25">
      <c r="A74" s="2" t="s">
        <v>32</v>
      </c>
      <c r="B74" s="17">
        <f t="shared" ref="B74:U76" si="22">SUM(B25:E25)</f>
        <v>3194</v>
      </c>
      <c r="C74" s="17">
        <f t="shared" si="22"/>
        <v>3228</v>
      </c>
      <c r="D74" s="17">
        <f t="shared" si="22"/>
        <v>3160</v>
      </c>
      <c r="E74" s="17">
        <f t="shared" si="22"/>
        <v>3047</v>
      </c>
      <c r="F74" s="17">
        <f t="shared" si="22"/>
        <v>2945</v>
      </c>
      <c r="G74" s="17">
        <f t="shared" si="22"/>
        <v>2835</v>
      </c>
      <c r="H74" s="17">
        <f t="shared" si="22"/>
        <v>2806</v>
      </c>
      <c r="I74" s="17">
        <f t="shared" si="22"/>
        <v>2672</v>
      </c>
      <c r="J74" s="17">
        <f t="shared" si="22"/>
        <v>2458</v>
      </c>
      <c r="K74" s="17">
        <f t="shared" si="22"/>
        <v>2232</v>
      </c>
      <c r="L74" s="17">
        <f t="shared" si="22"/>
        <v>1765</v>
      </c>
      <c r="M74" s="17">
        <f t="shared" si="22"/>
        <v>1600</v>
      </c>
      <c r="N74" s="17">
        <f t="shared" si="22"/>
        <v>1411</v>
      </c>
      <c r="O74" s="17">
        <f t="shared" si="22"/>
        <v>1392</v>
      </c>
      <c r="P74" s="17">
        <f t="shared" si="22"/>
        <v>1634</v>
      </c>
      <c r="Q74" s="17">
        <f t="shared" si="22"/>
        <v>1681</v>
      </c>
      <c r="R74" s="17">
        <f t="shared" si="22"/>
        <v>1796</v>
      </c>
      <c r="S74" s="17">
        <f t="shared" si="22"/>
        <v>1862</v>
      </c>
      <c r="T74" s="17">
        <f t="shared" si="22"/>
        <v>1893</v>
      </c>
      <c r="U74" s="17">
        <f t="shared" si="22"/>
        <v>1836</v>
      </c>
    </row>
    <row r="75" spans="1:21" x14ac:dyDescent="0.25">
      <c r="A75" s="2" t="s">
        <v>33</v>
      </c>
      <c r="B75" s="17">
        <f t="shared" si="22"/>
        <v>1710</v>
      </c>
      <c r="C75" s="17">
        <f t="shared" si="22"/>
        <v>1692</v>
      </c>
      <c r="D75" s="17">
        <f t="shared" si="22"/>
        <v>1697</v>
      </c>
      <c r="E75" s="17">
        <f t="shared" si="22"/>
        <v>1724</v>
      </c>
      <c r="F75" s="17">
        <f t="shared" si="22"/>
        <v>1838</v>
      </c>
      <c r="G75" s="17">
        <f t="shared" si="22"/>
        <v>1856</v>
      </c>
      <c r="H75" s="17">
        <f t="shared" si="22"/>
        <v>1872</v>
      </c>
      <c r="I75" s="17">
        <f t="shared" si="22"/>
        <v>1809</v>
      </c>
      <c r="J75" s="17">
        <f t="shared" si="22"/>
        <v>1659</v>
      </c>
      <c r="K75" s="17">
        <f t="shared" si="22"/>
        <v>1554</v>
      </c>
      <c r="L75" s="17">
        <f t="shared" si="22"/>
        <v>1243</v>
      </c>
      <c r="M75" s="17">
        <f t="shared" si="22"/>
        <v>1028</v>
      </c>
      <c r="N75" s="17">
        <f t="shared" si="22"/>
        <v>884</v>
      </c>
      <c r="O75" s="17">
        <f t="shared" si="22"/>
        <v>763</v>
      </c>
      <c r="P75" s="17">
        <f t="shared" si="22"/>
        <v>858</v>
      </c>
      <c r="Q75" s="17">
        <f t="shared" si="22"/>
        <v>874</v>
      </c>
      <c r="R75" s="17">
        <f t="shared" si="22"/>
        <v>868</v>
      </c>
      <c r="S75" s="17">
        <f t="shared" si="22"/>
        <v>864</v>
      </c>
      <c r="T75" s="17">
        <f t="shared" si="22"/>
        <v>851</v>
      </c>
      <c r="U75" s="17">
        <f t="shared" si="22"/>
        <v>860</v>
      </c>
    </row>
    <row r="76" spans="1:21" x14ac:dyDescent="0.25">
      <c r="A76" s="2" t="s">
        <v>34</v>
      </c>
      <c r="B76" s="17">
        <f t="shared" si="22"/>
        <v>359</v>
      </c>
      <c r="C76" s="17">
        <f t="shared" si="22"/>
        <v>355</v>
      </c>
      <c r="D76" s="17">
        <f t="shared" si="22"/>
        <v>302</v>
      </c>
      <c r="E76" s="17">
        <f t="shared" si="22"/>
        <v>271</v>
      </c>
      <c r="F76" s="17">
        <f t="shared" si="22"/>
        <v>321</v>
      </c>
      <c r="G76" s="17">
        <f t="shared" si="22"/>
        <v>201</v>
      </c>
      <c r="H76" s="17">
        <f t="shared" si="22"/>
        <v>209</v>
      </c>
      <c r="I76" s="17">
        <f t="shared" si="22"/>
        <v>230</v>
      </c>
      <c r="J76" s="17">
        <f t="shared" si="22"/>
        <v>225</v>
      </c>
      <c r="K76" s="17">
        <f t="shared" si="22"/>
        <v>329</v>
      </c>
      <c r="L76" s="17">
        <f t="shared" si="22"/>
        <v>289</v>
      </c>
      <c r="M76" s="17">
        <f t="shared" si="22"/>
        <v>251</v>
      </c>
      <c r="N76" s="17">
        <f t="shared" si="22"/>
        <v>273</v>
      </c>
      <c r="O76" s="17">
        <f t="shared" si="22"/>
        <v>227</v>
      </c>
      <c r="P76" s="17">
        <f t="shared" si="22"/>
        <v>242</v>
      </c>
      <c r="Q76" s="17">
        <f t="shared" si="22"/>
        <v>288</v>
      </c>
      <c r="R76" s="17">
        <f t="shared" si="22"/>
        <v>295</v>
      </c>
      <c r="S76" s="17">
        <f t="shared" si="22"/>
        <v>289</v>
      </c>
      <c r="T76" s="17">
        <f t="shared" si="22"/>
        <v>297</v>
      </c>
      <c r="U76" s="17">
        <f t="shared" si="22"/>
        <v>246</v>
      </c>
    </row>
    <row r="77" spans="1:21" x14ac:dyDescent="0.25">
      <c r="A77" s="4" t="s">
        <v>35</v>
      </c>
      <c r="B77" s="18">
        <f>SUM(B74:B76)</f>
        <v>5263</v>
      </c>
      <c r="C77" s="18">
        <f>SUM(C74:C76)</f>
        <v>5275</v>
      </c>
      <c r="D77" s="18">
        <f>SUM(D74:D76)</f>
        <v>5159</v>
      </c>
      <c r="E77" s="18">
        <f>SUM(E74:E76)</f>
        <v>5042</v>
      </c>
      <c r="F77" s="18">
        <f t="shared" ref="F77:U77" si="23">SUM(F74:F76)</f>
        <v>5104</v>
      </c>
      <c r="G77" s="18">
        <f t="shared" si="23"/>
        <v>4892</v>
      </c>
      <c r="H77" s="18">
        <f t="shared" si="23"/>
        <v>4887</v>
      </c>
      <c r="I77" s="18">
        <f t="shared" si="23"/>
        <v>4711</v>
      </c>
      <c r="J77" s="18">
        <f t="shared" si="23"/>
        <v>4342</v>
      </c>
      <c r="K77" s="18">
        <f t="shared" si="23"/>
        <v>4115</v>
      </c>
      <c r="L77" s="18">
        <f t="shared" si="23"/>
        <v>3297</v>
      </c>
      <c r="M77" s="18">
        <f t="shared" si="23"/>
        <v>2879</v>
      </c>
      <c r="N77" s="18">
        <f t="shared" si="23"/>
        <v>2568</v>
      </c>
      <c r="O77" s="18">
        <f t="shared" si="23"/>
        <v>2382</v>
      </c>
      <c r="P77" s="18">
        <f t="shared" si="23"/>
        <v>2734</v>
      </c>
      <c r="Q77" s="18">
        <f t="shared" si="23"/>
        <v>2843</v>
      </c>
      <c r="R77" s="18">
        <f t="shared" si="23"/>
        <v>2959</v>
      </c>
      <c r="S77" s="18">
        <f t="shared" si="23"/>
        <v>3015</v>
      </c>
      <c r="T77" s="18">
        <f t="shared" si="23"/>
        <v>3041</v>
      </c>
      <c r="U77" s="18">
        <f t="shared" si="23"/>
        <v>2942</v>
      </c>
    </row>
    <row r="78" spans="1:21" x14ac:dyDescent="0.25">
      <c r="A78" s="4" t="s">
        <v>38</v>
      </c>
      <c r="B78" s="18">
        <f>B77+B72</f>
        <v>16496</v>
      </c>
      <c r="C78" s="18">
        <f>C77+C72</f>
        <v>16314</v>
      </c>
      <c r="D78" s="18">
        <f>D77+D72</f>
        <v>16123</v>
      </c>
      <c r="E78" s="18">
        <f>E77+E72</f>
        <v>16219</v>
      </c>
      <c r="F78" s="18">
        <f t="shared" ref="F78:U78" si="24">F77+F72</f>
        <v>16085</v>
      </c>
      <c r="G78" s="18">
        <f t="shared" si="24"/>
        <v>15435</v>
      </c>
      <c r="H78" s="18">
        <f t="shared" si="24"/>
        <v>15116</v>
      </c>
      <c r="I78" s="18">
        <f t="shared" si="24"/>
        <v>14552</v>
      </c>
      <c r="J78" s="18">
        <f t="shared" si="24"/>
        <v>14182</v>
      </c>
      <c r="K78" s="18">
        <f t="shared" si="24"/>
        <v>13765</v>
      </c>
      <c r="L78" s="18">
        <f t="shared" si="24"/>
        <v>11632</v>
      </c>
      <c r="M78" s="18">
        <f t="shared" si="24"/>
        <v>10889</v>
      </c>
      <c r="N78" s="18">
        <f t="shared" si="24"/>
        <v>10650</v>
      </c>
      <c r="O78" s="18">
        <f t="shared" si="24"/>
        <v>10693</v>
      </c>
      <c r="P78" s="18">
        <f t="shared" si="24"/>
        <v>12173</v>
      </c>
      <c r="Q78" s="18">
        <f t="shared" si="24"/>
        <v>12365</v>
      </c>
      <c r="R78" s="18">
        <f t="shared" si="24"/>
        <v>12425</v>
      </c>
      <c r="S78" s="18">
        <f t="shared" si="24"/>
        <v>12366</v>
      </c>
      <c r="T78" s="18">
        <f t="shared" si="24"/>
        <v>12394</v>
      </c>
      <c r="U78" s="18">
        <f t="shared" si="24"/>
        <v>12308</v>
      </c>
    </row>
    <row r="79" spans="1:21" x14ac:dyDescent="0.25">
      <c r="A79" s="2" t="s">
        <v>39</v>
      </c>
      <c r="B79" s="17">
        <f t="shared" ref="B79:U79" si="25">SUM(B30:E30)</f>
        <v>3793</v>
      </c>
      <c r="C79" s="17">
        <f t="shared" si="25"/>
        <v>3705</v>
      </c>
      <c r="D79" s="17">
        <f t="shared" si="25"/>
        <v>3654</v>
      </c>
      <c r="E79" s="17">
        <f t="shared" si="25"/>
        <v>3707</v>
      </c>
      <c r="F79" s="17">
        <f t="shared" si="25"/>
        <v>3773</v>
      </c>
      <c r="G79" s="17">
        <f t="shared" si="25"/>
        <v>3664</v>
      </c>
      <c r="H79" s="17">
        <f t="shared" si="25"/>
        <v>3590</v>
      </c>
      <c r="I79" s="17">
        <f t="shared" si="25"/>
        <v>3432</v>
      </c>
      <c r="J79" s="17">
        <f t="shared" si="25"/>
        <v>3386</v>
      </c>
      <c r="K79" s="17">
        <f t="shared" si="25"/>
        <v>3329</v>
      </c>
      <c r="L79" s="17">
        <f t="shared" si="25"/>
        <v>2751</v>
      </c>
      <c r="M79" s="17">
        <f t="shared" si="25"/>
        <v>2589</v>
      </c>
      <c r="N79" s="17">
        <f t="shared" si="25"/>
        <v>2587</v>
      </c>
      <c r="O79" s="17">
        <f t="shared" si="25"/>
        <v>2521</v>
      </c>
      <c r="P79" s="17">
        <f t="shared" si="25"/>
        <v>2963</v>
      </c>
      <c r="Q79" s="17">
        <f t="shared" si="25"/>
        <v>2993</v>
      </c>
      <c r="R79" s="17">
        <f t="shared" si="25"/>
        <v>2943</v>
      </c>
      <c r="S79" s="17">
        <f t="shared" si="25"/>
        <v>2928</v>
      </c>
      <c r="T79" s="17">
        <f t="shared" si="25"/>
        <v>2957</v>
      </c>
      <c r="U79" s="17">
        <f t="shared" si="25"/>
        <v>2944</v>
      </c>
    </row>
    <row r="80" spans="1:21" ht="20" thickBot="1" x14ac:dyDescent="0.3">
      <c r="A80" s="4" t="s">
        <v>40</v>
      </c>
      <c r="B80" s="8">
        <f>B78-B79</f>
        <v>12703</v>
      </c>
      <c r="C80" s="8">
        <f>C78-C79</f>
        <v>12609</v>
      </c>
      <c r="D80" s="8">
        <f>D78-D79</f>
        <v>12469</v>
      </c>
      <c r="E80" s="8">
        <f>E78-E79</f>
        <v>12512</v>
      </c>
      <c r="F80" s="8">
        <f t="shared" ref="F80:U80" si="26">F78-F79</f>
        <v>12312</v>
      </c>
      <c r="G80" s="8">
        <f t="shared" si="26"/>
        <v>11771</v>
      </c>
      <c r="H80" s="8">
        <f t="shared" si="26"/>
        <v>11526</v>
      </c>
      <c r="I80" s="8">
        <f t="shared" si="26"/>
        <v>11120</v>
      </c>
      <c r="J80" s="8">
        <f t="shared" si="26"/>
        <v>10796</v>
      </c>
      <c r="K80" s="8">
        <f t="shared" si="26"/>
        <v>10436</v>
      </c>
      <c r="L80" s="8">
        <f t="shared" si="26"/>
        <v>8881</v>
      </c>
      <c r="M80" s="8">
        <f t="shared" si="26"/>
        <v>8300</v>
      </c>
      <c r="N80" s="8">
        <f t="shared" si="26"/>
        <v>8063</v>
      </c>
      <c r="O80" s="8">
        <f t="shared" si="26"/>
        <v>8172</v>
      </c>
      <c r="P80" s="8">
        <f t="shared" si="26"/>
        <v>9210</v>
      </c>
      <c r="Q80" s="8">
        <f t="shared" si="26"/>
        <v>9372</v>
      </c>
      <c r="R80" s="8">
        <f t="shared" si="26"/>
        <v>9482</v>
      </c>
      <c r="S80" s="8">
        <f t="shared" si="26"/>
        <v>9438</v>
      </c>
      <c r="T80" s="8">
        <f t="shared" si="26"/>
        <v>9437</v>
      </c>
      <c r="U80" s="8">
        <f t="shared" si="26"/>
        <v>9364</v>
      </c>
    </row>
    <row r="81" spans="1:21" ht="20" thickTop="1" x14ac:dyDescent="0.25"/>
    <row r="82" spans="1:21" x14ac:dyDescent="0.25">
      <c r="A82" s="13" t="s">
        <v>46</v>
      </c>
      <c r="B82" s="14" t="s">
        <v>44</v>
      </c>
      <c r="C82" s="14"/>
      <c r="D82" s="14"/>
      <c r="E82" s="14"/>
      <c r="F82" s="14"/>
      <c r="G82" s="14"/>
      <c r="H82" s="14"/>
      <c r="I82" s="14"/>
      <c r="J82" s="14"/>
      <c r="K82" s="14"/>
      <c r="L82" s="14"/>
      <c r="M82" s="14"/>
      <c r="N82" s="14"/>
      <c r="O82" s="14"/>
      <c r="P82" s="14"/>
      <c r="Q82" s="14"/>
      <c r="R82" s="14"/>
      <c r="S82" s="14"/>
      <c r="T82" s="14"/>
      <c r="U82" s="14"/>
    </row>
    <row r="83" spans="1:21" x14ac:dyDescent="0.25">
      <c r="A83" s="13"/>
      <c r="B83" s="16">
        <v>45199</v>
      </c>
      <c r="C83" s="16">
        <v>45107</v>
      </c>
      <c r="D83" s="16">
        <v>45016</v>
      </c>
      <c r="E83" s="16">
        <v>44926</v>
      </c>
      <c r="F83" s="16">
        <v>44834</v>
      </c>
      <c r="G83" s="16">
        <v>44742</v>
      </c>
      <c r="H83" s="16">
        <v>44651</v>
      </c>
      <c r="I83" s="16">
        <v>44561</v>
      </c>
      <c r="J83" s="16">
        <v>44469</v>
      </c>
      <c r="K83" s="16">
        <v>44377</v>
      </c>
      <c r="L83" s="16">
        <v>44286</v>
      </c>
      <c r="M83" s="16">
        <v>44196</v>
      </c>
      <c r="N83" s="16">
        <v>44104</v>
      </c>
      <c r="O83" s="16">
        <v>44012</v>
      </c>
      <c r="P83" s="16">
        <v>43921</v>
      </c>
      <c r="Q83" s="16">
        <v>43830</v>
      </c>
      <c r="R83" s="16">
        <v>43738</v>
      </c>
      <c r="S83" s="16">
        <v>43646</v>
      </c>
      <c r="T83" s="16">
        <v>43555</v>
      </c>
      <c r="U83" s="16">
        <v>43465</v>
      </c>
    </row>
    <row r="84" spans="1:21" x14ac:dyDescent="0.25">
      <c r="A84" s="4" t="s">
        <v>41</v>
      </c>
    </row>
    <row r="85" spans="1:21" x14ac:dyDescent="0.25">
      <c r="A85" s="4" t="s">
        <v>26</v>
      </c>
    </row>
    <row r="86" spans="1:21" x14ac:dyDescent="0.25">
      <c r="A86" s="2" t="s">
        <v>27</v>
      </c>
      <c r="B86" s="11">
        <f t="shared" ref="B86:U89" si="27">B69/B53</f>
        <v>0.15703129553004255</v>
      </c>
      <c r="C86" s="11">
        <f t="shared" si="27"/>
        <v>0.15991490381734283</v>
      </c>
      <c r="D86" s="11">
        <f t="shared" si="27"/>
        <v>0.15792251334906246</v>
      </c>
      <c r="E86" s="11">
        <f t="shared" si="27"/>
        <v>0.15773423306514403</v>
      </c>
      <c r="F86" s="11">
        <f t="shared" si="27"/>
        <v>0.16052999533923695</v>
      </c>
      <c r="G86" s="11">
        <f t="shared" si="27"/>
        <v>0.15491239366929882</v>
      </c>
      <c r="H86" s="11">
        <f t="shared" si="27"/>
        <v>0.15676869457193141</v>
      </c>
      <c r="I86" s="11">
        <f t="shared" si="27"/>
        <v>0.15861016467915956</v>
      </c>
      <c r="J86" s="11">
        <f t="shared" si="27"/>
        <v>0.1635945541482644</v>
      </c>
      <c r="K86" s="11">
        <f t="shared" si="27"/>
        <v>0.16293881264690271</v>
      </c>
      <c r="L86" s="11">
        <f t="shared" si="27"/>
        <v>0.14374924942956646</v>
      </c>
      <c r="M86" s="11">
        <f t="shared" si="27"/>
        <v>0.14629680134024234</v>
      </c>
      <c r="N86" s="11">
        <f t="shared" si="27"/>
        <v>0.14924532552376663</v>
      </c>
      <c r="O86" s="11">
        <f t="shared" si="27"/>
        <v>0.15945629414061113</v>
      </c>
      <c r="P86" s="11">
        <f t="shared" si="27"/>
        <v>0.18199834847233692</v>
      </c>
      <c r="Q86" s="11">
        <f t="shared" si="27"/>
        <v>0.1841864417859711</v>
      </c>
      <c r="R86" s="11">
        <f t="shared" si="27"/>
        <v>0.18762980269989615</v>
      </c>
      <c r="S86" s="11">
        <f t="shared" si="27"/>
        <v>0.18759951905891528</v>
      </c>
      <c r="T86" s="11">
        <f t="shared" si="27"/>
        <v>0.18820964960796435</v>
      </c>
      <c r="U86" s="11">
        <f t="shared" si="27"/>
        <v>0.18973890935167378</v>
      </c>
    </row>
    <row r="87" spans="1:21" x14ac:dyDescent="0.25">
      <c r="A87" s="2" t="s">
        <v>28</v>
      </c>
      <c r="B87" s="11">
        <f t="shared" si="27"/>
        <v>0.1667869487598283</v>
      </c>
      <c r="C87" s="11">
        <f t="shared" si="27"/>
        <v>0.16410935717702468</v>
      </c>
      <c r="D87" s="11">
        <f t="shared" si="27"/>
        <v>0.16102716890118465</v>
      </c>
      <c r="E87" s="11">
        <f t="shared" si="27"/>
        <v>0.16573228128460687</v>
      </c>
      <c r="F87" s="11">
        <f t="shared" si="27"/>
        <v>0.15748224344844478</v>
      </c>
      <c r="G87" s="11">
        <f t="shared" si="27"/>
        <v>0.14974786231089673</v>
      </c>
      <c r="H87" s="11">
        <f t="shared" si="27"/>
        <v>0.14444700283981887</v>
      </c>
      <c r="I87" s="11">
        <f t="shared" si="27"/>
        <v>0.13574117081765036</v>
      </c>
      <c r="J87" s="11">
        <f t="shared" si="27"/>
        <v>0.13854498778518487</v>
      </c>
      <c r="K87" s="11">
        <f t="shared" si="27"/>
        <v>0.14235148620410251</v>
      </c>
      <c r="L87" s="11">
        <f t="shared" si="27"/>
        <v>0.13904156257097433</v>
      </c>
      <c r="M87" s="11">
        <f t="shared" si="27"/>
        <v>0.13453210318207495</v>
      </c>
      <c r="N87" s="11">
        <f t="shared" si="27"/>
        <v>0.13681350669512904</v>
      </c>
      <c r="O87" s="11">
        <f t="shared" si="27"/>
        <v>0.13307947183620988</v>
      </c>
      <c r="P87" s="11">
        <f t="shared" si="27"/>
        <v>0.13194646494035497</v>
      </c>
      <c r="Q87" s="11">
        <f t="shared" si="27"/>
        <v>0.12967973631131008</v>
      </c>
      <c r="R87" s="11">
        <f t="shared" si="27"/>
        <v>0.12826413206603302</v>
      </c>
      <c r="S87" s="11">
        <f t="shared" si="27"/>
        <v>0.12440288647220246</v>
      </c>
      <c r="T87" s="11">
        <f t="shared" si="27"/>
        <v>0.12375384936583329</v>
      </c>
      <c r="U87" s="11">
        <f t="shared" si="27"/>
        <v>0.12507361996037908</v>
      </c>
    </row>
    <row r="88" spans="1:21" x14ac:dyDescent="0.25">
      <c r="A88" s="2" t="s">
        <v>29</v>
      </c>
      <c r="B88" s="11">
        <f t="shared" si="27"/>
        <v>0.10015164047422112</v>
      </c>
      <c r="C88" s="11">
        <f t="shared" si="27"/>
        <v>8.6082617133351816E-2</v>
      </c>
      <c r="D88" s="11">
        <f t="shared" si="27"/>
        <v>8.7712392573640358E-2</v>
      </c>
      <c r="E88" s="11">
        <f t="shared" si="27"/>
        <v>9.5012763837868122E-2</v>
      </c>
      <c r="F88" s="11">
        <f t="shared" si="27"/>
        <v>0.10058848510586665</v>
      </c>
      <c r="G88" s="11">
        <f t="shared" si="27"/>
        <v>0.11204783258594918</v>
      </c>
      <c r="H88" s="11">
        <f t="shared" si="27"/>
        <v>0.11863465218196408</v>
      </c>
      <c r="I88" s="11">
        <f t="shared" si="27"/>
        <v>0.12721437740693198</v>
      </c>
      <c r="J88" s="11">
        <f t="shared" si="27"/>
        <v>0.13312160910414186</v>
      </c>
      <c r="K88" s="11">
        <f t="shared" si="27"/>
        <v>0.13881039354883176</v>
      </c>
      <c r="L88" s="11">
        <f t="shared" si="27"/>
        <v>0.12985109173674872</v>
      </c>
      <c r="M88" s="11">
        <f t="shared" si="27"/>
        <v>0.11480933596318212</v>
      </c>
      <c r="N88" s="11">
        <f t="shared" si="27"/>
        <v>0.11143821975928651</v>
      </c>
      <c r="O88" s="11">
        <f t="shared" si="27"/>
        <v>0.10131247752606976</v>
      </c>
      <c r="P88" s="11">
        <f t="shared" si="27"/>
        <v>0.10239023563315816</v>
      </c>
      <c r="Q88" s="11">
        <f t="shared" si="27"/>
        <v>0.10593615039376747</v>
      </c>
      <c r="R88" s="11">
        <f t="shared" si="27"/>
        <v>9.3999160721779274E-2</v>
      </c>
      <c r="S88" s="11">
        <f t="shared" si="27"/>
        <v>9.3705945766647314E-2</v>
      </c>
      <c r="T88" s="11">
        <f t="shared" si="27"/>
        <v>9.7040940413457635E-2</v>
      </c>
      <c r="U88" s="11">
        <f t="shared" si="27"/>
        <v>9.6511535084218086E-2</v>
      </c>
    </row>
    <row r="89" spans="1:21" x14ac:dyDescent="0.25">
      <c r="A89" s="4" t="s">
        <v>30</v>
      </c>
      <c r="B89" s="12">
        <f t="shared" si="27"/>
        <v>0.14946841776110067</v>
      </c>
      <c r="C89" s="12">
        <f t="shared" si="27"/>
        <v>0.14722789047599993</v>
      </c>
      <c r="D89" s="12">
        <f t="shared" si="27"/>
        <v>0.1449325172837711</v>
      </c>
      <c r="E89" s="12">
        <f t="shared" si="27"/>
        <v>0.14749079584592445</v>
      </c>
      <c r="F89" s="12">
        <f t="shared" si="27"/>
        <v>0.14621448163830525</v>
      </c>
      <c r="G89" s="12">
        <f t="shared" si="27"/>
        <v>0.14325117530367673</v>
      </c>
      <c r="H89" s="12">
        <f t="shared" si="27"/>
        <v>0.14358909570734721</v>
      </c>
      <c r="I89" s="12">
        <f t="shared" si="27"/>
        <v>0.14318347155536157</v>
      </c>
      <c r="J89" s="12">
        <f t="shared" si="27"/>
        <v>0.14761033272329063</v>
      </c>
      <c r="K89" s="12">
        <f t="shared" si="27"/>
        <v>0.14999378264113405</v>
      </c>
      <c r="L89" s="12">
        <f t="shared" si="27"/>
        <v>0.13901629501142485</v>
      </c>
      <c r="M89" s="12">
        <f t="shared" si="27"/>
        <v>0.13558117097445793</v>
      </c>
      <c r="N89" s="12">
        <f t="shared" si="27"/>
        <v>0.13746066842418572</v>
      </c>
      <c r="O89" s="12">
        <f t="shared" si="27"/>
        <v>0.13962904472295959</v>
      </c>
      <c r="P89" s="12">
        <f t="shared" si="27"/>
        <v>0.15055427067549246</v>
      </c>
      <c r="Q89" s="12">
        <f t="shared" si="27"/>
        <v>0.15179340028694405</v>
      </c>
      <c r="R89" s="12">
        <f t="shared" si="27"/>
        <v>0.15092233861067267</v>
      </c>
      <c r="S89" s="12">
        <f t="shared" si="27"/>
        <v>0.14959206526955687</v>
      </c>
      <c r="T89" s="12">
        <f t="shared" si="27"/>
        <v>0.15029486911667819</v>
      </c>
      <c r="U89" s="12">
        <f t="shared" si="27"/>
        <v>0.15135012846823845</v>
      </c>
    </row>
    <row r="90" spans="1:21" x14ac:dyDescent="0.25">
      <c r="A90" s="4" t="s">
        <v>31</v>
      </c>
    </row>
    <row r="91" spans="1:21" x14ac:dyDescent="0.25">
      <c r="A91" s="2" t="s">
        <v>32</v>
      </c>
      <c r="B91" s="11">
        <f t="shared" ref="B91:U94" si="28">B74/B58</f>
        <v>0.15523693803159175</v>
      </c>
      <c r="C91" s="11">
        <f t="shared" si="28"/>
        <v>0.15943890151140966</v>
      </c>
      <c r="D91" s="11">
        <f t="shared" si="28"/>
        <v>0.15957984042015957</v>
      </c>
      <c r="E91" s="11">
        <f t="shared" si="28"/>
        <v>0.16031779438072188</v>
      </c>
      <c r="F91" s="11">
        <f t="shared" si="28"/>
        <v>0.16194665933461644</v>
      </c>
      <c r="G91" s="11">
        <f t="shared" si="28"/>
        <v>0.16158449700769451</v>
      </c>
      <c r="H91" s="11">
        <f t="shared" si="28"/>
        <v>0.16712328767123288</v>
      </c>
      <c r="I91" s="11">
        <f t="shared" si="28"/>
        <v>0.16834677419354838</v>
      </c>
      <c r="J91" s="11">
        <f t="shared" si="28"/>
        <v>0.16418408923919578</v>
      </c>
      <c r="K91" s="11">
        <f t="shared" si="28"/>
        <v>0.16048317515099222</v>
      </c>
      <c r="L91" s="11">
        <f t="shared" si="28"/>
        <v>0.14015723020725801</v>
      </c>
      <c r="M91" s="11">
        <f t="shared" si="28"/>
        <v>0.12959663048760733</v>
      </c>
      <c r="N91" s="11">
        <f t="shared" si="28"/>
        <v>0.11384540906890431</v>
      </c>
      <c r="O91" s="11">
        <f t="shared" si="28"/>
        <v>0.10989184495144864</v>
      </c>
      <c r="P91" s="11">
        <f t="shared" si="28"/>
        <v>0.12161357546888955</v>
      </c>
      <c r="Q91" s="11">
        <f t="shared" si="28"/>
        <v>0.12455542382928275</v>
      </c>
      <c r="R91" s="11">
        <f t="shared" si="28"/>
        <v>0.13225331369661267</v>
      </c>
      <c r="S91" s="11">
        <f t="shared" si="28"/>
        <v>0.13655030800821355</v>
      </c>
      <c r="T91" s="11">
        <f t="shared" si="28"/>
        <v>0.13941670349094124</v>
      </c>
      <c r="U91" s="11">
        <f t="shared" si="28"/>
        <v>0.13770344258606465</v>
      </c>
    </row>
    <row r="92" spans="1:21" x14ac:dyDescent="0.25">
      <c r="A92" s="2" t="s">
        <v>33</v>
      </c>
      <c r="B92" s="11">
        <f t="shared" si="28"/>
        <v>8.7931300457654141E-2</v>
      </c>
      <c r="C92" s="11">
        <f t="shared" si="28"/>
        <v>8.7229984018147133E-2</v>
      </c>
      <c r="D92" s="11">
        <f t="shared" si="28"/>
        <v>8.7850080240202924E-2</v>
      </c>
      <c r="E92" s="11">
        <f t="shared" si="28"/>
        <v>8.9340311965590502E-2</v>
      </c>
      <c r="F92" s="11">
        <f t="shared" si="28"/>
        <v>9.5075522449824132E-2</v>
      </c>
      <c r="G92" s="11">
        <f t="shared" si="28"/>
        <v>9.7254244393208969E-2</v>
      </c>
      <c r="H92" s="11">
        <f t="shared" si="28"/>
        <v>9.7505078389499455E-2</v>
      </c>
      <c r="I92" s="11">
        <f t="shared" si="28"/>
        <v>9.5411392405063286E-2</v>
      </c>
      <c r="J92" s="11">
        <f t="shared" si="28"/>
        <v>8.9438783761927862E-2</v>
      </c>
      <c r="K92" s="11">
        <f t="shared" si="28"/>
        <v>8.5328354930814851E-2</v>
      </c>
      <c r="L92" s="11">
        <f t="shared" si="28"/>
        <v>7.4938204618074392E-2</v>
      </c>
      <c r="M92" s="11">
        <f t="shared" si="28"/>
        <v>6.4931783729156145E-2</v>
      </c>
      <c r="N92" s="11">
        <f t="shared" si="28"/>
        <v>5.7032258064516131E-2</v>
      </c>
      <c r="O92" s="11">
        <f t="shared" si="28"/>
        <v>4.9784679629387971E-2</v>
      </c>
      <c r="P92" s="11">
        <f t="shared" si="28"/>
        <v>5.36853960705794E-2</v>
      </c>
      <c r="Q92" s="11">
        <f t="shared" si="28"/>
        <v>5.4655743855918953E-2</v>
      </c>
      <c r="R92" s="11">
        <f t="shared" si="28"/>
        <v>5.46875E-2</v>
      </c>
      <c r="S92" s="11">
        <f t="shared" si="28"/>
        <v>5.5144243043145268E-2</v>
      </c>
      <c r="T92" s="11">
        <f t="shared" si="28"/>
        <v>5.4652880354505169E-2</v>
      </c>
      <c r="U92" s="11">
        <f t="shared" si="28"/>
        <v>5.5107010124311163E-2</v>
      </c>
    </row>
    <row r="93" spans="1:21" x14ac:dyDescent="0.25">
      <c r="A93" s="2" t="s">
        <v>34</v>
      </c>
      <c r="B93" s="11">
        <f t="shared" si="28"/>
        <v>6.7377350700048794E-3</v>
      </c>
      <c r="C93" s="11">
        <f t="shared" si="28"/>
        <v>6.6511784764117362E-3</v>
      </c>
      <c r="D93" s="11">
        <f t="shared" si="28"/>
        <v>5.618291072126207E-3</v>
      </c>
      <c r="E93" s="11">
        <f t="shared" si="28"/>
        <v>5.0931233437952229E-3</v>
      </c>
      <c r="F93" s="11">
        <f t="shared" si="28"/>
        <v>6.1415424646526487E-3</v>
      </c>
      <c r="G93" s="11">
        <f t="shared" si="28"/>
        <v>3.9173650360553496E-3</v>
      </c>
      <c r="H93" s="11">
        <f t="shared" si="28"/>
        <v>4.1515205688973638E-3</v>
      </c>
      <c r="I93" s="11">
        <f t="shared" si="28"/>
        <v>4.6511627906976744E-3</v>
      </c>
      <c r="J93" s="11">
        <f t="shared" si="28"/>
        <v>4.6593497618554565E-3</v>
      </c>
      <c r="K93" s="11">
        <f t="shared" si="28"/>
        <v>6.8946728697766042E-3</v>
      </c>
      <c r="L93" s="11">
        <f t="shared" si="28"/>
        <v>6.1962650886559032E-3</v>
      </c>
      <c r="M93" s="11">
        <f t="shared" si="28"/>
        <v>5.3586678052946202E-3</v>
      </c>
      <c r="N93" s="11">
        <f t="shared" si="28"/>
        <v>5.6494836827183743E-3</v>
      </c>
      <c r="O93" s="11">
        <f t="shared" si="28"/>
        <v>4.643361220774439E-3</v>
      </c>
      <c r="P93" s="11">
        <f t="shared" si="28"/>
        <v>4.8322683706070284E-3</v>
      </c>
      <c r="Q93" s="11">
        <f t="shared" si="28"/>
        <v>5.7077173094454798E-3</v>
      </c>
      <c r="R93" s="11">
        <f t="shared" si="28"/>
        <v>5.928099190161365E-3</v>
      </c>
      <c r="S93" s="11">
        <f t="shared" si="28"/>
        <v>5.7821972349492807E-3</v>
      </c>
      <c r="T93" s="11">
        <f t="shared" si="28"/>
        <v>5.9403564213852834E-3</v>
      </c>
      <c r="U93" s="11">
        <f t="shared" si="28"/>
        <v>4.9212795326784966E-3</v>
      </c>
    </row>
    <row r="94" spans="1:21" x14ac:dyDescent="0.25">
      <c r="A94" s="4" t="s">
        <v>35</v>
      </c>
      <c r="B94" s="12">
        <f t="shared" si="28"/>
        <v>5.6407013632856037E-2</v>
      </c>
      <c r="C94" s="12">
        <f t="shared" si="28"/>
        <v>5.6710063751787311E-2</v>
      </c>
      <c r="D94" s="12">
        <f t="shared" si="28"/>
        <v>5.5549573606684471E-2</v>
      </c>
      <c r="E94" s="12">
        <f t="shared" si="28"/>
        <v>5.5096599353090303E-2</v>
      </c>
      <c r="F94" s="12">
        <f t="shared" si="28"/>
        <v>5.6847545219638244E-2</v>
      </c>
      <c r="G94" s="12">
        <f t="shared" si="28"/>
        <v>5.5629470428365115E-2</v>
      </c>
      <c r="H94" s="12">
        <f t="shared" si="28"/>
        <v>5.6607051846360563E-2</v>
      </c>
      <c r="I94" s="12">
        <f t="shared" si="28"/>
        <v>5.5895683538596613E-2</v>
      </c>
      <c r="J94" s="12">
        <f t="shared" si="28"/>
        <v>5.3074196308519742E-2</v>
      </c>
      <c r="K94" s="12">
        <f t="shared" si="28"/>
        <v>5.1541872291390067E-2</v>
      </c>
      <c r="L94" s="12">
        <f t="shared" si="28"/>
        <v>4.3483995199219215E-2</v>
      </c>
      <c r="M94" s="12">
        <f t="shared" si="28"/>
        <v>3.837745607720814E-2</v>
      </c>
      <c r="N94" s="12">
        <f t="shared" si="28"/>
        <v>3.3693270530196676E-2</v>
      </c>
      <c r="O94" s="12">
        <f t="shared" si="28"/>
        <v>3.0983350676378772E-2</v>
      </c>
      <c r="P94" s="12">
        <f t="shared" si="28"/>
        <v>3.43908022843342E-2</v>
      </c>
      <c r="Q94" s="12">
        <f t="shared" si="28"/>
        <v>3.5561948839827384E-2</v>
      </c>
      <c r="R94" s="12">
        <f t="shared" si="28"/>
        <v>3.7354036482989336E-2</v>
      </c>
      <c r="S94" s="12">
        <f t="shared" si="28"/>
        <v>3.8027369615942483E-2</v>
      </c>
      <c r="T94" s="12">
        <f t="shared" si="28"/>
        <v>3.8422661915952797E-2</v>
      </c>
      <c r="U94" s="12">
        <f t="shared" si="28"/>
        <v>3.7275422547702913E-2</v>
      </c>
    </row>
    <row r="96" spans="1:21" x14ac:dyDescent="0.25">
      <c r="A96" s="4" t="s">
        <v>42</v>
      </c>
      <c r="B96" s="12">
        <f t="shared" ref="B96:U96" si="29">B78/B62</f>
        <v>9.7924099325050307E-2</v>
      </c>
      <c r="C96" s="12">
        <f t="shared" si="29"/>
        <v>9.7109454987023502E-2</v>
      </c>
      <c r="D96" s="12">
        <f t="shared" si="29"/>
        <v>9.5673536235840045E-2</v>
      </c>
      <c r="E96" s="12">
        <f t="shared" si="29"/>
        <v>9.6949663165822833E-2</v>
      </c>
      <c r="F96" s="12">
        <f t="shared" si="29"/>
        <v>9.755224821998229E-2</v>
      </c>
      <c r="G96" s="12">
        <f t="shared" si="29"/>
        <v>9.5550864507821742E-2</v>
      </c>
      <c r="H96" s="12">
        <f t="shared" si="29"/>
        <v>9.5931966744938757E-2</v>
      </c>
      <c r="I96" s="12">
        <f t="shared" si="29"/>
        <v>9.5103652001150243E-2</v>
      </c>
      <c r="J96" s="12">
        <f t="shared" si="29"/>
        <v>9.5519693949027429E-2</v>
      </c>
      <c r="K96" s="12">
        <f t="shared" si="29"/>
        <v>9.5474912258798394E-2</v>
      </c>
      <c r="L96" s="12">
        <f t="shared" si="29"/>
        <v>8.5669254223806501E-2</v>
      </c>
      <c r="M96" s="12">
        <f t="shared" si="29"/>
        <v>8.1202413178520033E-2</v>
      </c>
      <c r="N96" s="12">
        <f t="shared" si="29"/>
        <v>7.8881877166474088E-2</v>
      </c>
      <c r="O96" s="12">
        <f t="shared" si="29"/>
        <v>7.8393278690928284E-2</v>
      </c>
      <c r="P96" s="12">
        <f t="shared" si="29"/>
        <v>8.5608996223442785E-2</v>
      </c>
      <c r="Q96" s="12">
        <f t="shared" si="29"/>
        <v>8.6665498510601013E-2</v>
      </c>
      <c r="R96" s="12">
        <f t="shared" si="29"/>
        <v>8.753945440198399E-2</v>
      </c>
      <c r="S96" s="12">
        <f t="shared" si="29"/>
        <v>8.7210409393843225E-2</v>
      </c>
      <c r="T96" s="12">
        <f t="shared" si="29"/>
        <v>8.7666310644588588E-2</v>
      </c>
      <c r="U96" s="12">
        <f t="shared" si="29"/>
        <v>8.7409185492404604E-2</v>
      </c>
    </row>
    <row r="98" spans="1:21" x14ac:dyDescent="0.25">
      <c r="A98" s="4" t="s">
        <v>47</v>
      </c>
      <c r="B98" s="12">
        <f>B79/B78</f>
        <v>0.2299345295829292</v>
      </c>
      <c r="C98" s="12">
        <f>C79/C78</f>
        <v>0.2271055535123207</v>
      </c>
      <c r="D98" s="12">
        <f>D79/D78</f>
        <v>0.22663276065248403</v>
      </c>
      <c r="E98" s="12">
        <f>E79/E78</f>
        <v>0.22855909735495405</v>
      </c>
      <c r="F98" s="12">
        <f t="shared" ref="F98:U98" si="30">F79/F78</f>
        <v>0.2345663661796705</v>
      </c>
      <c r="G98" s="12">
        <f t="shared" si="30"/>
        <v>0.23738257207644964</v>
      </c>
      <c r="H98" s="12">
        <f t="shared" si="30"/>
        <v>0.23749669224662609</v>
      </c>
      <c r="I98" s="12">
        <f t="shared" si="30"/>
        <v>0.23584387025838371</v>
      </c>
      <c r="J98" s="12">
        <f t="shared" si="30"/>
        <v>0.2387533493160344</v>
      </c>
      <c r="K98" s="12">
        <f t="shared" si="30"/>
        <v>0.24184525971667273</v>
      </c>
      <c r="L98" s="12">
        <f t="shared" si="30"/>
        <v>0.23650275103163687</v>
      </c>
      <c r="M98" s="12">
        <f t="shared" si="30"/>
        <v>0.23776287997061255</v>
      </c>
      <c r="N98" s="12">
        <f t="shared" si="30"/>
        <v>0.24291079812206573</v>
      </c>
      <c r="O98" s="12">
        <f t="shared" si="30"/>
        <v>0.2357617132703638</v>
      </c>
      <c r="P98" s="12">
        <f t="shared" si="30"/>
        <v>0.24340754127988171</v>
      </c>
      <c r="Q98" s="12">
        <f t="shared" si="30"/>
        <v>0.24205418520016175</v>
      </c>
      <c r="R98" s="12">
        <f t="shared" si="30"/>
        <v>0.23686116700201207</v>
      </c>
      <c r="S98" s="12">
        <f t="shared" si="30"/>
        <v>0.23677826297913634</v>
      </c>
      <c r="T98" s="12">
        <f t="shared" si="30"/>
        <v>0.23858318541229628</v>
      </c>
      <c r="U98" s="12">
        <f t="shared" si="30"/>
        <v>0.23919402014949626</v>
      </c>
    </row>
  </sheetData>
  <mergeCells count="4">
    <mergeCell ref="A1:C1"/>
    <mergeCell ref="B49:U49"/>
    <mergeCell ref="B65:U65"/>
    <mergeCell ref="B82:U8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TERMS OF USE</vt:lpstr>
      <vt:lpstr>BRK MSR Group Quarterly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The Rational Walk LLC</dc:creator>
  <cp:keywords/>
  <dc:description/>
  <cp:lastModifiedBy>The Rational Walk LLC</cp:lastModifiedBy>
  <dcterms:created xsi:type="dcterms:W3CDTF">2023-11-08T20:36:31Z</dcterms:created>
  <dcterms:modified xsi:type="dcterms:W3CDTF">2023-11-08T20:40:50Z</dcterms:modified>
  <cp:category/>
</cp:coreProperties>
</file>