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95" windowHeight="12240" activeTab="0"/>
  </bookViews>
  <sheets>
    <sheet name="Balance Sheet" sheetId="1" r:id="rId1"/>
    <sheet name="Operating Summary" sheetId="2" r:id="rId2"/>
  </sheets>
  <definedNames/>
  <calcPr fullCalcOnLoad="1"/>
</workbook>
</file>

<file path=xl/comments2.xml><?xml version="1.0" encoding="utf-8"?>
<comments xmlns="http://schemas.openxmlformats.org/spreadsheetml/2006/main">
  <authors>
    <author>Ravi</author>
  </authors>
  <commentList>
    <comment ref="I46" authorId="0">
      <text>
        <r>
          <rPr>
            <sz val="9"/>
            <rFont val="Tahoma"/>
            <family val="2"/>
          </rPr>
          <t xml:space="preserve">Change in marketable securities in operating CF statement for 2003 … not sure why so I have recategorized it for this analysis.
</t>
        </r>
      </text>
    </comment>
    <comment ref="J46" authorId="0">
      <text>
        <r>
          <rPr>
            <sz val="9"/>
            <rFont val="Tahoma"/>
            <family val="2"/>
          </rPr>
          <t xml:space="preserve">Change in marketable securities in operating CF statement for 2002 … not sure why so I have recategorized it for this analysis.
</t>
        </r>
      </text>
    </comment>
    <comment ref="K46" authorId="0">
      <text>
        <r>
          <rPr>
            <sz val="9"/>
            <rFont val="Tahoma"/>
            <family val="2"/>
          </rPr>
          <t xml:space="preserve">Change in marketable securities in operating CF statement for 2001 … not sure why so I have recategorized it for this analysis.
</t>
        </r>
      </text>
    </comment>
    <comment ref="L46" authorId="0">
      <text>
        <r>
          <rPr>
            <sz val="9"/>
            <rFont val="Tahoma"/>
            <family val="2"/>
          </rPr>
          <t xml:space="preserve">Change in marketable securities in operating CF statement for 2000 … not sure why so I have recategorized it for this analysis.
</t>
        </r>
      </text>
    </comment>
    <comment ref="M46" authorId="0">
      <text>
        <r>
          <rPr>
            <sz val="9"/>
            <rFont val="Tahoma"/>
            <family val="2"/>
          </rPr>
          <t xml:space="preserve">Change in marketable securities in operating CF statement for 1998 … not sure why so I have recategorized it for this analysis.
</t>
        </r>
      </text>
    </comment>
    <comment ref="N46" authorId="0">
      <text>
        <r>
          <rPr>
            <sz val="9"/>
            <rFont val="Tahoma"/>
            <family val="2"/>
          </rPr>
          <t xml:space="preserve">Change in marketable securities in operating CF statement for 1998 … not sure why so I have recategorized it for this analysis.
</t>
        </r>
      </text>
    </comment>
    <comment ref="O46" authorId="0">
      <text>
        <r>
          <rPr>
            <sz val="9"/>
            <rFont val="Tahoma"/>
            <family val="2"/>
          </rPr>
          <t xml:space="preserve">Change in marketable securities in operating CF statement for 1997 … not sure why so I have recategorized it for this analysis.
</t>
        </r>
      </text>
    </comment>
  </commentList>
</comments>
</file>

<file path=xl/sharedStrings.xml><?xml version="1.0" encoding="utf-8"?>
<sst xmlns="http://schemas.openxmlformats.org/spreadsheetml/2006/main" count="110" uniqueCount="109">
  <si>
    <t>ASSETS</t>
  </si>
  <si>
    <t>CURRENT ASSETS:</t>
  </si>
  <si>
    <t xml:space="preserve">   Cash and equivalents</t>
  </si>
  <si>
    <t xml:space="preserve">      Total Current Assets</t>
  </si>
  <si>
    <t>TOTAL ASSETS</t>
  </si>
  <si>
    <t>LIABILITES &amp; SHAREHOLDER EQUITY</t>
  </si>
  <si>
    <t>CURRENT LIABILITIES</t>
  </si>
  <si>
    <t xml:space="preserve">      Total Current Liabilities</t>
  </si>
  <si>
    <t>SHAREHOLDERS' EQUITY</t>
  </si>
  <si>
    <t>Book Value Per Share</t>
  </si>
  <si>
    <t xml:space="preserve">   Inventories</t>
  </si>
  <si>
    <t>LONG TERM ASSETS:</t>
  </si>
  <si>
    <t xml:space="preserve">      Total Long Term Assets</t>
  </si>
  <si>
    <t>LONG TERM LIABILITIES</t>
  </si>
  <si>
    <r>
      <t xml:space="preserve">      </t>
    </r>
    <r>
      <rPr>
        <b/>
        <sz val="9"/>
        <color indexed="8"/>
        <rFont val="Calibri"/>
        <family val="2"/>
      </rPr>
      <t>Total Long Term Liabilities</t>
    </r>
  </si>
  <si>
    <t>Tangible Book Value Per Share</t>
  </si>
  <si>
    <t xml:space="preserve">   Notes Receivable</t>
  </si>
  <si>
    <r>
      <t xml:space="preserve">   </t>
    </r>
    <r>
      <rPr>
        <sz val="9"/>
        <color indexed="8"/>
        <rFont val="Calibri"/>
        <family val="2"/>
      </rPr>
      <t>Accrued Payroll and related expenses</t>
    </r>
  </si>
  <si>
    <t>Share Count, Diluted</t>
  </si>
  <si>
    <t>Gross Profit</t>
  </si>
  <si>
    <t>Gross Margin</t>
  </si>
  <si>
    <t>Net Income</t>
  </si>
  <si>
    <t>Net Profit Margin</t>
  </si>
  <si>
    <t>Net Net Current Assets</t>
  </si>
  <si>
    <t>Analysis Date:  January 8, 2010</t>
  </si>
  <si>
    <t xml:space="preserve">   Investments and securities</t>
  </si>
  <si>
    <t xml:space="preserve">   Accounts Receivable, net</t>
  </si>
  <si>
    <t xml:space="preserve">   Income Tax Overpayment</t>
  </si>
  <si>
    <t xml:space="preserve">   Prepaid Expenses</t>
  </si>
  <si>
    <t xml:space="preserve">   Deferred Current Income Taxes</t>
  </si>
  <si>
    <t xml:space="preserve">   Property and Equipment, net at cost</t>
  </si>
  <si>
    <t xml:space="preserve">   Projects in Process</t>
  </si>
  <si>
    <t xml:space="preserve">   Long Term Receivables</t>
  </si>
  <si>
    <t xml:space="preserve">   Note Receivable</t>
  </si>
  <si>
    <r>
      <t xml:space="preserve">   </t>
    </r>
    <r>
      <rPr>
        <sz val="9"/>
        <color indexed="8"/>
        <rFont val="Calibri"/>
        <family val="2"/>
      </rPr>
      <t>Accounts Payable, trade</t>
    </r>
  </si>
  <si>
    <t xml:space="preserve">   Dividends Payable</t>
  </si>
  <si>
    <t xml:space="preserve">   Deferred Income Taxes</t>
  </si>
  <si>
    <t xml:space="preserve">   Other</t>
  </si>
  <si>
    <t xml:space="preserve">   Notes Payable</t>
  </si>
  <si>
    <t>Dividends Paid</t>
  </si>
  <si>
    <t>Dividends Paid per share</t>
  </si>
  <si>
    <t xml:space="preserve">   Notes Payable, Current portion</t>
  </si>
  <si>
    <t xml:space="preserve">   Income Tax Payable</t>
  </si>
  <si>
    <t xml:space="preserve">   Long Term Debt</t>
  </si>
  <si>
    <t>Cash, ST Deposits, and ST Marketable Sec/Shr</t>
  </si>
  <si>
    <t xml:space="preserve">   Investment in Ltd Land Partnership, cost</t>
  </si>
  <si>
    <t>TOTAL LIABILITIES &amp; SHAREHOLDERS' EQUITY</t>
  </si>
  <si>
    <t>For Fiscal Year Ending</t>
  </si>
  <si>
    <t xml:space="preserve">1H FY2010 </t>
  </si>
  <si>
    <t>Net Sales</t>
  </si>
  <si>
    <t xml:space="preserve">  Less Cost of Goods Sold</t>
  </si>
  <si>
    <t>Operating Expenses:</t>
  </si>
  <si>
    <t xml:space="preserve">   General &amp; Administrative</t>
  </si>
  <si>
    <t xml:space="preserve">   Sales</t>
  </si>
  <si>
    <t xml:space="preserve">   Engineering</t>
  </si>
  <si>
    <t xml:space="preserve">   Rent Paid to Related Parties</t>
  </si>
  <si>
    <t>Total Operating Expenses</t>
  </si>
  <si>
    <t>Income From Operations</t>
  </si>
  <si>
    <t>Operating Margin</t>
  </si>
  <si>
    <t>Other Income (Expense)</t>
  </si>
  <si>
    <t xml:space="preserve">   Other Income</t>
  </si>
  <si>
    <t xml:space="preserve">   Interest Expense</t>
  </si>
  <si>
    <t xml:space="preserve">   Dividend and Interest Income</t>
  </si>
  <si>
    <t xml:space="preserve">   Gain (Loss) on Investments</t>
  </si>
  <si>
    <t>Income Before Taxes</t>
  </si>
  <si>
    <t>Provision for Income Taxes</t>
  </si>
  <si>
    <t xml:space="preserve">   Current Expense</t>
  </si>
  <si>
    <t xml:space="preserve">   Deferred Tax Expense</t>
  </si>
  <si>
    <t>Total Income Tax Expense</t>
  </si>
  <si>
    <t>Effective Tax Rate</t>
  </si>
  <si>
    <t>Avg Number of Shares Outstanding</t>
  </si>
  <si>
    <t>Diluted Earnings Per Share</t>
  </si>
  <si>
    <t>Cash Flow From Operations</t>
  </si>
  <si>
    <t>Purchases of Plant &amp; Equipment</t>
  </si>
  <si>
    <t>Free Cash Flow</t>
  </si>
  <si>
    <t>Depreciation</t>
  </si>
  <si>
    <t>Supplemental Information:</t>
  </si>
  <si>
    <t>Purchases of Marketable Securities</t>
  </si>
  <si>
    <t>Sale of Marketable Securities</t>
  </si>
  <si>
    <t xml:space="preserve">  NET Purchases of Marketable Securities</t>
  </si>
  <si>
    <t xml:space="preserve">   Gain (Loss) on Sale of Assets</t>
  </si>
  <si>
    <t>Stock Repurchased</t>
  </si>
  <si>
    <t>Total Capital Expenditures</t>
  </si>
  <si>
    <t>Total Depreciation</t>
  </si>
  <si>
    <t>Total Net Income</t>
  </si>
  <si>
    <t>Total Free Cash Flow</t>
  </si>
  <si>
    <t>Net Purchases of Securities</t>
  </si>
  <si>
    <t>Stock Buybacks</t>
  </si>
  <si>
    <t>Dividends</t>
  </si>
  <si>
    <t>Net Return on Period Ending Equity</t>
  </si>
  <si>
    <t>Aggregate Realized Gain/Loss on Investments</t>
  </si>
  <si>
    <t>Adjusted Equity (Equity less Investments)</t>
  </si>
  <si>
    <t>Marketable securities/share</t>
  </si>
  <si>
    <t xml:space="preserve">Increase In Shareholder Equity </t>
  </si>
  <si>
    <t>Total Ret Earnings: 1997 to 1H2010</t>
  </si>
  <si>
    <t>Total inc Sh Equity (1997 to 1H2010)</t>
  </si>
  <si>
    <t>Total Retained Earnings (97 to 1H10)</t>
  </si>
  <si>
    <t>Retained Earnings (Net Inc.-Div-Buybacks)</t>
  </si>
  <si>
    <t xml:space="preserve">April 30 Fiscal Year End </t>
  </si>
  <si>
    <t>CAGR Growth in BV - FY97 to FY09</t>
  </si>
  <si>
    <t xml:space="preserve">Only Net Change in marketable securities provided in financial statements for years 2003 and prior… </t>
  </si>
  <si>
    <t>Pre Tax Opeating Inc/Adjusted Equity</t>
  </si>
  <si>
    <t>George Risk Industries:  Operating Summary</t>
  </si>
  <si>
    <t>George Risk Industries:  Balance Sheets</t>
  </si>
  <si>
    <t>Fiscal Years Ending:</t>
  </si>
  <si>
    <t xml:space="preserve"> </t>
  </si>
  <si>
    <t>April 30 Fiscal Year End</t>
  </si>
  <si>
    <t>FY 2004 to FY 2009 Statistics (Six Years):</t>
  </si>
  <si>
    <t>&lt;&lt; Roughly equivalent to replacement cap ex, no expansion cap ex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</si>
</sst>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0.0%"/>
    <numFmt numFmtId="167" formatCode="_(* #,##0.000_);_(* \(#,##0.000\);_(* &quot;-&quot;??_);_(@_)"/>
    <numFmt numFmtId="168" formatCode="_(* #,##0.0_);_(* \(#,##0.0\);_(* &quot;-&quot;??_);_(@_)"/>
    <numFmt numFmtId="169" formatCode="[$-409]dddd\,\ mmmm\ dd\,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43" fontId="37" fillId="0" borderId="0" xfId="42" applyFont="1" applyAlignment="1">
      <alignment/>
    </xf>
    <xf numFmtId="165" fontId="38" fillId="0" borderId="0" xfId="42" applyNumberFormat="1" applyFont="1" applyAlignment="1">
      <alignment/>
    </xf>
    <xf numFmtId="165" fontId="37" fillId="0" borderId="0" xfId="42" applyNumberFormat="1" applyFont="1" applyAlignment="1">
      <alignment/>
    </xf>
    <xf numFmtId="165" fontId="37" fillId="0" borderId="10" xfId="42" applyNumberFormat="1" applyFont="1" applyBorder="1" applyAlignment="1">
      <alignment/>
    </xf>
    <xf numFmtId="165" fontId="37" fillId="0" borderId="11" xfId="42" applyNumberFormat="1" applyFont="1" applyBorder="1" applyAlignment="1">
      <alignment/>
    </xf>
    <xf numFmtId="165" fontId="38" fillId="0" borderId="10" xfId="42" applyNumberFormat="1" applyFont="1" applyBorder="1" applyAlignment="1">
      <alignment/>
    </xf>
    <xf numFmtId="43" fontId="37" fillId="0" borderId="0" xfId="42" applyNumberFormat="1" applyFont="1" applyAlignment="1">
      <alignment/>
    </xf>
    <xf numFmtId="166" fontId="38" fillId="0" borderId="0" xfId="57" applyNumberFormat="1" applyFont="1" applyAlignment="1">
      <alignment/>
    </xf>
    <xf numFmtId="43" fontId="38" fillId="0" borderId="0" xfId="42" applyFont="1" applyAlignment="1">
      <alignment/>
    </xf>
    <xf numFmtId="9" fontId="38" fillId="0" borderId="0" xfId="57" applyFont="1" applyAlignment="1">
      <alignment/>
    </xf>
    <xf numFmtId="14" fontId="37" fillId="0" borderId="0" xfId="0" applyNumberFormat="1" applyFont="1" applyAlignment="1">
      <alignment/>
    </xf>
    <xf numFmtId="43" fontId="38" fillId="0" borderId="0" xfId="42" applyNumberFormat="1" applyFont="1" applyAlignment="1">
      <alignment/>
    </xf>
    <xf numFmtId="167" fontId="38" fillId="0" borderId="0" xfId="42" applyNumberFormat="1" applyFont="1" applyAlignment="1">
      <alignment/>
    </xf>
    <xf numFmtId="43" fontId="37" fillId="0" borderId="0" xfId="0" applyNumberFormat="1" applyFont="1" applyAlignment="1">
      <alignment/>
    </xf>
    <xf numFmtId="43" fontId="38" fillId="0" borderId="0" xfId="0" applyNumberFormat="1" applyFont="1" applyAlignment="1">
      <alignment/>
    </xf>
    <xf numFmtId="167" fontId="37" fillId="33" borderId="0" xfId="42" applyNumberFormat="1" applyFont="1" applyFill="1" applyAlignment="1">
      <alignment/>
    </xf>
    <xf numFmtId="167" fontId="38" fillId="33" borderId="0" xfId="42" applyNumberFormat="1" applyFont="1" applyFill="1" applyAlignment="1">
      <alignment/>
    </xf>
    <xf numFmtId="166" fontId="37" fillId="33" borderId="0" xfId="57" applyNumberFormat="1" applyFont="1" applyFill="1" applyAlignment="1">
      <alignment/>
    </xf>
    <xf numFmtId="165" fontId="38" fillId="0" borderId="0" xfId="42" applyNumberFormat="1" applyFont="1" applyBorder="1" applyAlignment="1">
      <alignment/>
    </xf>
    <xf numFmtId="0" fontId="38" fillId="34" borderId="0" xfId="0" applyFont="1" applyFill="1" applyAlignment="1">
      <alignment/>
    </xf>
    <xf numFmtId="165" fontId="38" fillId="34" borderId="0" xfId="42" applyNumberFormat="1" applyFont="1" applyFill="1" applyAlignment="1">
      <alignment/>
    </xf>
    <xf numFmtId="14" fontId="37" fillId="34" borderId="0" xfId="0" applyNumberFormat="1" applyFont="1" applyFill="1" applyAlignment="1">
      <alignment/>
    </xf>
    <xf numFmtId="165" fontId="38" fillId="34" borderId="10" xfId="42" applyNumberFormat="1" applyFont="1" applyFill="1" applyBorder="1" applyAlignment="1">
      <alignment/>
    </xf>
    <xf numFmtId="166" fontId="38" fillId="34" borderId="0" xfId="57" applyNumberFormat="1" applyFont="1" applyFill="1" applyAlignment="1">
      <alignment/>
    </xf>
    <xf numFmtId="165" fontId="38" fillId="34" borderId="0" xfId="42" applyNumberFormat="1" applyFont="1" applyFill="1" applyBorder="1" applyAlignment="1">
      <alignment/>
    </xf>
    <xf numFmtId="165" fontId="37" fillId="34" borderId="0" xfId="42" applyNumberFormat="1" applyFont="1" applyFill="1" applyAlignment="1">
      <alignment/>
    </xf>
    <xf numFmtId="43" fontId="37" fillId="34" borderId="0" xfId="42" applyFont="1" applyFill="1" applyAlignment="1">
      <alignment/>
    </xf>
    <xf numFmtId="165" fontId="37" fillId="34" borderId="10" xfId="42" applyNumberFormat="1" applyFont="1" applyFill="1" applyBorder="1" applyAlignment="1">
      <alignment/>
    </xf>
    <xf numFmtId="14" fontId="37" fillId="35" borderId="0" xfId="42" applyNumberFormat="1" applyFont="1" applyFill="1" applyAlignment="1">
      <alignment horizontal="center"/>
    </xf>
    <xf numFmtId="165" fontId="38" fillId="35" borderId="0" xfId="42" applyNumberFormat="1" applyFont="1" applyFill="1" applyAlignment="1">
      <alignment/>
    </xf>
    <xf numFmtId="165" fontId="38" fillId="35" borderId="10" xfId="42" applyNumberFormat="1" applyFont="1" applyFill="1" applyBorder="1" applyAlignment="1">
      <alignment/>
    </xf>
    <xf numFmtId="166" fontId="38" fillId="35" borderId="0" xfId="57" applyNumberFormat="1" applyFont="1" applyFill="1" applyAlignment="1">
      <alignment/>
    </xf>
    <xf numFmtId="165" fontId="38" fillId="35" borderId="0" xfId="42" applyNumberFormat="1" applyFont="1" applyFill="1" applyBorder="1" applyAlignment="1">
      <alignment/>
    </xf>
    <xf numFmtId="165" fontId="37" fillId="35" borderId="0" xfId="42" applyNumberFormat="1" applyFont="1" applyFill="1" applyAlignment="1">
      <alignment/>
    </xf>
    <xf numFmtId="43" fontId="37" fillId="35" borderId="0" xfId="42" applyFont="1" applyFill="1" applyAlignment="1">
      <alignment/>
    </xf>
    <xf numFmtId="165" fontId="37" fillId="35" borderId="10" xfId="42" applyNumberFormat="1" applyFont="1" applyFill="1" applyBorder="1" applyAlignment="1">
      <alignment/>
    </xf>
    <xf numFmtId="9" fontId="38" fillId="35" borderId="0" xfId="57" applyFont="1" applyFill="1" applyAlignment="1">
      <alignment/>
    </xf>
    <xf numFmtId="14" fontId="37" fillId="35" borderId="0" xfId="42" applyNumberFormat="1" applyFont="1" applyFill="1" applyAlignment="1">
      <alignment/>
    </xf>
    <xf numFmtId="165" fontId="37" fillId="35" borderId="11" xfId="42" applyNumberFormat="1" applyFont="1" applyFill="1" applyBorder="1" applyAlignment="1">
      <alignment/>
    </xf>
    <xf numFmtId="43" fontId="37" fillId="35" borderId="0" xfId="42" applyNumberFormat="1" applyFont="1" applyFill="1" applyAlignment="1">
      <alignment/>
    </xf>
    <xf numFmtId="10" fontId="38" fillId="0" borderId="0" xfId="57" applyNumberFormat="1" applyFont="1" applyAlignment="1">
      <alignment/>
    </xf>
    <xf numFmtId="0" fontId="37" fillId="35" borderId="0" xfId="0" applyFont="1" applyFill="1" applyAlignment="1">
      <alignment/>
    </xf>
    <xf numFmtId="0" fontId="38" fillId="35" borderId="0" xfId="0" applyFont="1" applyFill="1" applyAlignment="1">
      <alignment/>
    </xf>
    <xf numFmtId="165" fontId="38" fillId="35" borderId="0" xfId="0" applyNumberFormat="1" applyFont="1" applyFill="1" applyAlignment="1">
      <alignment/>
    </xf>
    <xf numFmtId="43" fontId="37" fillId="0" borderId="0" xfId="42" applyFont="1" applyFill="1" applyAlignment="1">
      <alignment/>
    </xf>
    <xf numFmtId="165" fontId="38" fillId="0" borderId="0" xfId="0" applyNumberFormat="1" applyFont="1" applyAlignment="1">
      <alignment/>
    </xf>
    <xf numFmtId="0" fontId="37" fillId="0" borderId="0" xfId="0" applyFont="1" applyAlignment="1">
      <alignment horizontal="left"/>
    </xf>
    <xf numFmtId="14" fontId="37" fillId="0" borderId="0" xfId="42" applyNumberFormat="1" applyFont="1" applyAlignment="1">
      <alignment/>
    </xf>
    <xf numFmtId="0" fontId="37" fillId="36" borderId="0" xfId="0" applyFont="1" applyFill="1" applyAlignment="1">
      <alignment/>
    </xf>
    <xf numFmtId="164" fontId="38" fillId="36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17" sqref="D17"/>
    </sheetView>
  </sheetViews>
  <sheetFormatPr defaultColWidth="9.140625" defaultRowHeight="15"/>
  <cols>
    <col min="1" max="1" width="34.421875" style="2" bestFit="1" customWidth="1"/>
    <col min="2" max="2" width="11.00390625" style="5" customWidth="1"/>
    <col min="3" max="14" width="11.00390625" style="2" customWidth="1"/>
    <col min="15" max="15" width="11.00390625" style="5" customWidth="1"/>
    <col min="16" max="25" width="11.00390625" style="2" customWidth="1"/>
    <col min="26" max="16384" width="9.140625" style="2" customWidth="1"/>
  </cols>
  <sheetData>
    <row r="1" ht="12">
      <c r="A1" s="52" t="s">
        <v>103</v>
      </c>
    </row>
    <row r="2" ht="12">
      <c r="A2" s="53" t="s">
        <v>24</v>
      </c>
    </row>
    <row r="3" spans="1:3" ht="12">
      <c r="A3" s="53" t="s">
        <v>98</v>
      </c>
      <c r="C3" s="1" t="s">
        <v>104</v>
      </c>
    </row>
    <row r="4" spans="2:28" s="1" customFormat="1" ht="12">
      <c r="B4" s="41">
        <v>40117</v>
      </c>
      <c r="C4" s="14">
        <v>39933</v>
      </c>
      <c r="D4" s="14">
        <v>39568</v>
      </c>
      <c r="E4" s="14">
        <v>39202</v>
      </c>
      <c r="F4" s="14">
        <v>38837</v>
      </c>
      <c r="G4" s="14">
        <v>38472</v>
      </c>
      <c r="H4" s="14">
        <v>38107</v>
      </c>
      <c r="I4" s="14">
        <v>37741</v>
      </c>
      <c r="J4" s="14">
        <v>37376</v>
      </c>
      <c r="K4" s="14">
        <v>37011</v>
      </c>
      <c r="L4" s="14">
        <v>36646</v>
      </c>
      <c r="M4" s="14">
        <v>36280</v>
      </c>
      <c r="N4" s="14">
        <v>35915</v>
      </c>
      <c r="O4" s="51">
        <v>35550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" ht="12">
      <c r="A5" s="1" t="s">
        <v>0</v>
      </c>
      <c r="B5" s="33"/>
    </row>
    <row r="6" spans="1:2" ht="12">
      <c r="A6" s="1" t="s">
        <v>1</v>
      </c>
      <c r="B6" s="33"/>
    </row>
    <row r="7" spans="1:15" ht="12">
      <c r="A7" s="2" t="s">
        <v>2</v>
      </c>
      <c r="B7" s="33">
        <v>2700000</v>
      </c>
      <c r="C7" s="5">
        <v>4671000</v>
      </c>
      <c r="D7" s="5">
        <v>4072000</v>
      </c>
      <c r="E7" s="5">
        <v>4611000</v>
      </c>
      <c r="F7" s="5">
        <v>5495000</v>
      </c>
      <c r="G7" s="5">
        <v>5451000</v>
      </c>
      <c r="H7" s="5">
        <v>4280000</v>
      </c>
      <c r="I7" s="5">
        <v>2699000</v>
      </c>
      <c r="J7" s="5">
        <v>1094000</v>
      </c>
      <c r="K7" s="5">
        <v>2502000</v>
      </c>
      <c r="L7" s="5">
        <v>958000</v>
      </c>
      <c r="M7" s="5">
        <v>1160000</v>
      </c>
      <c r="N7" s="5">
        <v>903000</v>
      </c>
      <c r="O7" s="5">
        <v>653000</v>
      </c>
    </row>
    <row r="8" spans="1:15" ht="12">
      <c r="A8" s="2" t="s">
        <v>25</v>
      </c>
      <c r="B8" s="33">
        <v>19107000</v>
      </c>
      <c r="C8" s="5">
        <v>15691000</v>
      </c>
      <c r="D8" s="5">
        <v>17533000</v>
      </c>
      <c r="E8" s="5">
        <v>16738000</v>
      </c>
      <c r="F8" s="5">
        <v>13811000</v>
      </c>
      <c r="G8" s="5">
        <v>11750000</v>
      </c>
      <c r="H8" s="5">
        <v>10766000</v>
      </c>
      <c r="I8" s="5">
        <v>9681000</v>
      </c>
      <c r="J8" s="5">
        <v>8689000</v>
      </c>
      <c r="K8" s="5">
        <v>6217000</v>
      </c>
      <c r="L8" s="5">
        <v>6639000</v>
      </c>
      <c r="M8" s="5">
        <v>5464000</v>
      </c>
      <c r="N8" s="5">
        <v>4463000</v>
      </c>
      <c r="O8" s="5">
        <v>3430000</v>
      </c>
    </row>
    <row r="9" spans="1:15" ht="12">
      <c r="A9" s="2" t="s">
        <v>26</v>
      </c>
      <c r="B9" s="33">
        <v>1087000</v>
      </c>
      <c r="C9" s="5">
        <v>1273000</v>
      </c>
      <c r="D9" s="5">
        <v>1510000</v>
      </c>
      <c r="E9" s="5">
        <v>1928000</v>
      </c>
      <c r="F9" s="5">
        <v>2138000</v>
      </c>
      <c r="G9" s="5">
        <v>2243000</v>
      </c>
      <c r="H9" s="5">
        <v>1740000</v>
      </c>
      <c r="I9" s="5">
        <v>1556000</v>
      </c>
      <c r="J9" s="5">
        <v>1894000</v>
      </c>
      <c r="K9" s="5">
        <v>2074000</v>
      </c>
      <c r="L9" s="5">
        <f>1922000+126000</f>
        <v>2048000</v>
      </c>
      <c r="M9" s="5">
        <f>2075000+13000</f>
        <v>2088000</v>
      </c>
      <c r="N9" s="5">
        <v>1786000</v>
      </c>
      <c r="O9" s="5">
        <f>1275000+67000</f>
        <v>1342000</v>
      </c>
    </row>
    <row r="10" spans="1:15" ht="12">
      <c r="A10" s="2" t="s">
        <v>16</v>
      </c>
      <c r="B10" s="33">
        <v>7000</v>
      </c>
      <c r="C10" s="5">
        <v>3000</v>
      </c>
      <c r="D10" s="5">
        <v>3000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</row>
    <row r="11" spans="1:15" ht="12">
      <c r="A11" s="2" t="s">
        <v>27</v>
      </c>
      <c r="B11" s="33">
        <v>204000</v>
      </c>
      <c r="C11" s="5">
        <v>137000</v>
      </c>
      <c r="D11" s="5">
        <v>471000</v>
      </c>
      <c r="E11" s="5">
        <v>137000</v>
      </c>
      <c r="F11" s="5">
        <v>270000</v>
      </c>
      <c r="G11" s="5">
        <v>0</v>
      </c>
      <c r="H11" s="5">
        <v>129000</v>
      </c>
      <c r="I11" s="5">
        <v>70000</v>
      </c>
      <c r="J11" s="5">
        <v>135000</v>
      </c>
      <c r="K11" s="5">
        <v>44000</v>
      </c>
      <c r="L11" s="5">
        <v>47000</v>
      </c>
      <c r="M11" s="5">
        <v>111000</v>
      </c>
      <c r="N11" s="5">
        <v>0</v>
      </c>
      <c r="O11" s="5">
        <v>77000</v>
      </c>
    </row>
    <row r="12" spans="1:15" ht="12">
      <c r="A12" s="2" t="s">
        <v>10</v>
      </c>
      <c r="B12" s="33">
        <v>2154000</v>
      </c>
      <c r="C12" s="5">
        <v>2741000</v>
      </c>
      <c r="D12" s="5">
        <v>3100000</v>
      </c>
      <c r="E12" s="5">
        <v>3060000</v>
      </c>
      <c r="F12" s="5">
        <v>2270000</v>
      </c>
      <c r="G12" s="5">
        <v>2054000</v>
      </c>
      <c r="H12" s="5">
        <v>2379000</v>
      </c>
      <c r="I12" s="5">
        <v>2430000</v>
      </c>
      <c r="J12" s="5">
        <v>2428000</v>
      </c>
      <c r="K12" s="5">
        <v>2759000</v>
      </c>
      <c r="L12" s="5">
        <v>2600000</v>
      </c>
      <c r="M12" s="5">
        <v>2194000</v>
      </c>
      <c r="N12" s="5">
        <v>1656000</v>
      </c>
      <c r="O12" s="5">
        <v>1678000</v>
      </c>
    </row>
    <row r="13" spans="1:15" ht="12">
      <c r="A13" s="2" t="s">
        <v>28</v>
      </c>
      <c r="B13" s="33">
        <v>86000</v>
      </c>
      <c r="C13" s="5">
        <v>81000</v>
      </c>
      <c r="D13" s="5">
        <v>103000</v>
      </c>
      <c r="E13" s="5">
        <v>125000</v>
      </c>
      <c r="F13" s="5">
        <v>117000</v>
      </c>
      <c r="G13" s="5">
        <v>57000</v>
      </c>
      <c r="H13" s="5">
        <v>65000</v>
      </c>
      <c r="I13" s="5">
        <v>140000</v>
      </c>
      <c r="J13" s="5">
        <v>86000</v>
      </c>
      <c r="K13" s="5">
        <v>49000</v>
      </c>
      <c r="L13" s="5">
        <v>52000</v>
      </c>
      <c r="M13" s="5">
        <v>63000</v>
      </c>
      <c r="N13" s="5">
        <v>44000</v>
      </c>
      <c r="O13" s="5">
        <v>67000</v>
      </c>
    </row>
    <row r="14" spans="1:15" ht="12">
      <c r="A14" s="2" t="s">
        <v>29</v>
      </c>
      <c r="B14" s="33">
        <v>537000</v>
      </c>
      <c r="C14" s="5">
        <v>1127000</v>
      </c>
      <c r="D14" s="5">
        <v>250000</v>
      </c>
      <c r="E14" s="5">
        <v>115000</v>
      </c>
      <c r="F14" s="5">
        <v>312000</v>
      </c>
      <c r="G14" s="5">
        <v>164000</v>
      </c>
      <c r="H14" s="5">
        <v>94000</v>
      </c>
      <c r="I14" s="5">
        <v>113000</v>
      </c>
      <c r="J14" s="5">
        <v>52000</v>
      </c>
      <c r="K14" s="5">
        <v>52000</v>
      </c>
      <c r="L14" s="5">
        <v>69000</v>
      </c>
      <c r="M14" s="5">
        <v>31000</v>
      </c>
      <c r="N14" s="5">
        <v>31000</v>
      </c>
      <c r="O14" s="5">
        <v>94000</v>
      </c>
    </row>
    <row r="15" spans="1:15" ht="12">
      <c r="A15" s="1" t="s">
        <v>3</v>
      </c>
      <c r="B15" s="39">
        <f>SUM(B7:B14)</f>
        <v>25882000</v>
      </c>
      <c r="C15" s="7">
        <f aca="true" t="shared" si="0" ref="C15:O15">SUM(C7:C14)</f>
        <v>25724000</v>
      </c>
      <c r="D15" s="7">
        <f t="shared" si="0"/>
        <v>27042000</v>
      </c>
      <c r="E15" s="7">
        <f t="shared" si="0"/>
        <v>26714000</v>
      </c>
      <c r="F15" s="7">
        <f t="shared" si="0"/>
        <v>24413000</v>
      </c>
      <c r="G15" s="7">
        <f t="shared" si="0"/>
        <v>21719000</v>
      </c>
      <c r="H15" s="7">
        <f t="shared" si="0"/>
        <v>19453000</v>
      </c>
      <c r="I15" s="7">
        <f t="shared" si="0"/>
        <v>16689000</v>
      </c>
      <c r="J15" s="7">
        <f t="shared" si="0"/>
        <v>14378000</v>
      </c>
      <c r="K15" s="7">
        <f t="shared" si="0"/>
        <v>13697000</v>
      </c>
      <c r="L15" s="7">
        <f t="shared" si="0"/>
        <v>12413000</v>
      </c>
      <c r="M15" s="7">
        <f t="shared" si="0"/>
        <v>11111000</v>
      </c>
      <c r="N15" s="7">
        <f t="shared" si="0"/>
        <v>8883000</v>
      </c>
      <c r="O15" s="7">
        <f t="shared" si="0"/>
        <v>7341000</v>
      </c>
    </row>
    <row r="16" spans="2:14" ht="12">
      <c r="B16" s="3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2">
      <c r="A17" s="1" t="s">
        <v>11</v>
      </c>
      <c r="B17" s="3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5" ht="12">
      <c r="A18" s="2" t="s">
        <v>30</v>
      </c>
      <c r="B18" s="33">
        <v>750000</v>
      </c>
      <c r="C18" s="5">
        <v>802000</v>
      </c>
      <c r="D18" s="5">
        <v>831000</v>
      </c>
      <c r="E18" s="5">
        <v>828000</v>
      </c>
      <c r="F18" s="5">
        <v>926000</v>
      </c>
      <c r="G18" s="5">
        <v>786000</v>
      </c>
      <c r="H18" s="5">
        <v>835000</v>
      </c>
      <c r="I18" s="5">
        <v>887000</v>
      </c>
      <c r="J18" s="5">
        <v>1065000</v>
      </c>
      <c r="K18" s="5">
        <v>1143000</v>
      </c>
      <c r="L18" s="5">
        <v>1261000</v>
      </c>
      <c r="M18" s="5">
        <v>816000</v>
      </c>
      <c r="N18" s="5">
        <v>665000</v>
      </c>
      <c r="O18" s="5">
        <v>680000</v>
      </c>
    </row>
    <row r="19" spans="1:15" ht="12">
      <c r="A19" s="2" t="s">
        <v>45</v>
      </c>
      <c r="B19" s="33">
        <v>200000</v>
      </c>
      <c r="C19" s="5">
        <v>200000</v>
      </c>
      <c r="D19" s="5">
        <v>200000</v>
      </c>
      <c r="E19" s="5">
        <v>200000</v>
      </c>
      <c r="F19" s="5">
        <v>200000</v>
      </c>
      <c r="G19" s="5">
        <v>200000</v>
      </c>
      <c r="H19" s="5">
        <v>200000</v>
      </c>
      <c r="I19" s="5">
        <v>200000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</row>
    <row r="20" spans="1:15" ht="12">
      <c r="A20" s="2" t="s">
        <v>31</v>
      </c>
      <c r="B20" s="33">
        <v>126000</v>
      </c>
      <c r="C20" s="5">
        <v>68000</v>
      </c>
      <c r="D20" s="5">
        <v>68000</v>
      </c>
      <c r="E20" s="5">
        <v>75000</v>
      </c>
      <c r="F20" s="5">
        <v>30000</v>
      </c>
      <c r="G20" s="5">
        <v>34000</v>
      </c>
      <c r="H20" s="5">
        <v>46000</v>
      </c>
      <c r="I20" s="5">
        <v>80000</v>
      </c>
      <c r="J20" s="5">
        <v>30000</v>
      </c>
      <c r="K20" s="5">
        <v>49000</v>
      </c>
      <c r="L20" s="5">
        <v>46000</v>
      </c>
      <c r="M20" s="5">
        <v>53000</v>
      </c>
      <c r="N20" s="5">
        <v>104000</v>
      </c>
      <c r="O20" s="5">
        <v>41000</v>
      </c>
    </row>
    <row r="21" spans="1:15" ht="12">
      <c r="A21" s="2" t="s">
        <v>32</v>
      </c>
      <c r="B21" s="33">
        <v>40000</v>
      </c>
      <c r="C21" s="5">
        <v>40000</v>
      </c>
      <c r="D21" s="5">
        <v>60000</v>
      </c>
      <c r="E21" s="5">
        <v>60000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/>
      <c r="M21" s="5">
        <v>0</v>
      </c>
      <c r="N21" s="5">
        <v>0</v>
      </c>
      <c r="O21" s="5">
        <v>0</v>
      </c>
    </row>
    <row r="22" spans="1:15" ht="12">
      <c r="A22" s="2" t="s">
        <v>33</v>
      </c>
      <c r="B22" s="33">
        <v>10000</v>
      </c>
      <c r="C22" s="5">
        <v>9000</v>
      </c>
      <c r="D22" s="5">
        <v>12000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/>
      <c r="M22" s="5">
        <v>0</v>
      </c>
      <c r="N22" s="5">
        <v>0</v>
      </c>
      <c r="O22" s="5">
        <v>0</v>
      </c>
    </row>
    <row r="23" spans="1:15" ht="12">
      <c r="A23" s="2" t="s">
        <v>37</v>
      </c>
      <c r="B23" s="33">
        <v>0</v>
      </c>
      <c r="C23" s="5">
        <v>0</v>
      </c>
      <c r="D23" s="5">
        <v>1000</v>
      </c>
      <c r="E23" s="5">
        <v>18000</v>
      </c>
      <c r="F23" s="5">
        <v>1000</v>
      </c>
      <c r="G23" s="5">
        <v>12000</v>
      </c>
      <c r="H23" s="5">
        <v>0</v>
      </c>
      <c r="I23" s="5">
        <v>0</v>
      </c>
      <c r="J23" s="5">
        <v>0</v>
      </c>
      <c r="K23" s="5">
        <v>5000</v>
      </c>
      <c r="L23" s="5">
        <v>20000</v>
      </c>
      <c r="M23" s="5">
        <f>12000+20000+38000</f>
        <v>70000</v>
      </c>
      <c r="N23" s="5">
        <f>52000+35000+56000</f>
        <v>143000</v>
      </c>
      <c r="O23" s="5">
        <v>2000</v>
      </c>
    </row>
    <row r="24" spans="1:15" ht="12">
      <c r="A24" s="1" t="s">
        <v>12</v>
      </c>
      <c r="B24" s="39">
        <f>SUM(B18:B23)</f>
        <v>1126000</v>
      </c>
      <c r="C24" s="7">
        <f aca="true" t="shared" si="1" ref="B24:M24">SUM(C18:C23)</f>
        <v>1119000</v>
      </c>
      <c r="D24" s="7">
        <f t="shared" si="1"/>
        <v>1172000</v>
      </c>
      <c r="E24" s="7">
        <f t="shared" si="1"/>
        <v>1181000</v>
      </c>
      <c r="F24" s="7">
        <f t="shared" si="1"/>
        <v>1157000</v>
      </c>
      <c r="G24" s="7">
        <f t="shared" si="1"/>
        <v>1032000</v>
      </c>
      <c r="H24" s="7">
        <f t="shared" si="1"/>
        <v>1081000</v>
      </c>
      <c r="I24" s="7">
        <f t="shared" si="1"/>
        <v>1167000</v>
      </c>
      <c r="J24" s="7">
        <f t="shared" si="1"/>
        <v>1095000</v>
      </c>
      <c r="K24" s="7">
        <f t="shared" si="1"/>
        <v>1197000</v>
      </c>
      <c r="L24" s="7">
        <f t="shared" si="1"/>
        <v>1327000</v>
      </c>
      <c r="M24" s="7">
        <f t="shared" si="1"/>
        <v>939000</v>
      </c>
      <c r="N24" s="7">
        <f>SUM(N18:N23)</f>
        <v>912000</v>
      </c>
      <c r="O24" s="7">
        <f>SUM(O18:O23)</f>
        <v>723000</v>
      </c>
    </row>
    <row r="25" spans="1:14" ht="12">
      <c r="A25" s="1"/>
      <c r="B25" s="3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5" ht="12.75" thickBot="1">
      <c r="A26" s="1" t="s">
        <v>4</v>
      </c>
      <c r="B26" s="42">
        <f>B15+B24</f>
        <v>27008000</v>
      </c>
      <c r="C26" s="8">
        <f aca="true" t="shared" si="2" ref="C26:O26">C15+C24</f>
        <v>26843000</v>
      </c>
      <c r="D26" s="8">
        <f t="shared" si="2"/>
        <v>28214000</v>
      </c>
      <c r="E26" s="8">
        <f t="shared" si="2"/>
        <v>27895000</v>
      </c>
      <c r="F26" s="8">
        <f t="shared" si="2"/>
        <v>25570000</v>
      </c>
      <c r="G26" s="8">
        <f t="shared" si="2"/>
        <v>22751000</v>
      </c>
      <c r="H26" s="8">
        <f t="shared" si="2"/>
        <v>20534000</v>
      </c>
      <c r="I26" s="8">
        <f t="shared" si="2"/>
        <v>17856000</v>
      </c>
      <c r="J26" s="8">
        <f t="shared" si="2"/>
        <v>15473000</v>
      </c>
      <c r="K26" s="8">
        <f t="shared" si="2"/>
        <v>14894000</v>
      </c>
      <c r="L26" s="8">
        <f t="shared" si="2"/>
        <v>13740000</v>
      </c>
      <c r="M26" s="8">
        <f>M15+M24</f>
        <v>12050000</v>
      </c>
      <c r="N26" s="8">
        <f t="shared" si="2"/>
        <v>9795000</v>
      </c>
      <c r="O26" s="8">
        <f t="shared" si="2"/>
        <v>8064000</v>
      </c>
    </row>
    <row r="27" spans="2:14" ht="12.75" thickTop="1">
      <c r="B27" s="3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2">
      <c r="A28" s="1" t="s">
        <v>5</v>
      </c>
      <c r="B28" s="3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14" ht="12">
      <c r="B29" s="3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">
      <c r="A30" s="1" t="s">
        <v>6</v>
      </c>
      <c r="B30" s="3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5" ht="12">
      <c r="A31" s="1" t="s">
        <v>34</v>
      </c>
      <c r="B31" s="33">
        <v>30000</v>
      </c>
      <c r="C31" s="5">
        <v>35000</v>
      </c>
      <c r="D31" s="5">
        <v>67000</v>
      </c>
      <c r="E31" s="5">
        <v>127000</v>
      </c>
      <c r="F31" s="5">
        <v>141000</v>
      </c>
      <c r="G31" s="5">
        <v>138000</v>
      </c>
      <c r="H31" s="5">
        <v>92000</v>
      </c>
      <c r="I31" s="5">
        <v>129000</v>
      </c>
      <c r="J31" s="5">
        <v>103000</v>
      </c>
      <c r="K31" s="5">
        <v>179000</v>
      </c>
      <c r="L31" s="5">
        <v>41000</v>
      </c>
      <c r="M31" s="5">
        <v>46000</v>
      </c>
      <c r="N31" s="5">
        <v>196000</v>
      </c>
      <c r="O31" s="5">
        <v>196000</v>
      </c>
    </row>
    <row r="32" spans="1:15" ht="12">
      <c r="A32" s="2" t="s">
        <v>41</v>
      </c>
      <c r="B32" s="33">
        <v>0</v>
      </c>
      <c r="C32" s="5">
        <v>0</v>
      </c>
      <c r="D32" s="5">
        <v>0</v>
      </c>
      <c r="E32" s="5">
        <v>0</v>
      </c>
      <c r="F32" s="5">
        <v>33000</v>
      </c>
      <c r="G32" s="5">
        <v>0</v>
      </c>
      <c r="H32" s="5">
        <v>0</v>
      </c>
      <c r="I32" s="5">
        <v>160000</v>
      </c>
      <c r="J32" s="5">
        <v>0</v>
      </c>
      <c r="K32" s="5">
        <v>12000</v>
      </c>
      <c r="L32" s="5">
        <v>31000</v>
      </c>
      <c r="M32" s="5">
        <v>57000</v>
      </c>
      <c r="N32" s="5">
        <v>51000</v>
      </c>
      <c r="O32" s="5">
        <v>46000</v>
      </c>
    </row>
    <row r="33" spans="1:15" ht="12">
      <c r="A33" s="2" t="s">
        <v>35</v>
      </c>
      <c r="B33" s="33">
        <v>395000</v>
      </c>
      <c r="C33" s="5">
        <v>317000</v>
      </c>
      <c r="D33" s="5">
        <v>239000</v>
      </c>
      <c r="E33" s="5">
        <v>161000</v>
      </c>
      <c r="F33" s="5">
        <v>91000</v>
      </c>
      <c r="G33" s="5">
        <v>50000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</row>
    <row r="34" spans="1:15" ht="12">
      <c r="A34" s="2" t="s">
        <v>42</v>
      </c>
      <c r="B34" s="33">
        <v>0</v>
      </c>
      <c r="C34" s="5">
        <v>0</v>
      </c>
      <c r="D34" s="5">
        <v>0</v>
      </c>
      <c r="E34" s="5">
        <v>0</v>
      </c>
      <c r="F34" s="5">
        <v>0</v>
      </c>
      <c r="G34" s="5">
        <v>101000</v>
      </c>
      <c r="H34" s="5">
        <v>0</v>
      </c>
      <c r="I34" s="5">
        <v>0</v>
      </c>
      <c r="J34" s="5">
        <v>0</v>
      </c>
      <c r="K34" s="5">
        <v>47000</v>
      </c>
      <c r="L34" s="5"/>
      <c r="M34" s="5">
        <v>146000</v>
      </c>
      <c r="N34" s="5">
        <v>79000</v>
      </c>
      <c r="O34" s="5">
        <v>47000</v>
      </c>
    </row>
    <row r="35" spans="1:15" ht="12">
      <c r="A35" s="1" t="s">
        <v>17</v>
      </c>
      <c r="B35" s="33">
        <v>246000</v>
      </c>
      <c r="C35" s="5">
        <v>306000</v>
      </c>
      <c r="D35" s="5">
        <v>321000</v>
      </c>
      <c r="E35" s="5">
        <v>337000</v>
      </c>
      <c r="F35" s="5">
        <v>366000</v>
      </c>
      <c r="G35" s="5">
        <v>347000</v>
      </c>
      <c r="H35" s="5">
        <v>317000</v>
      </c>
      <c r="I35" s="5">
        <v>289000</v>
      </c>
      <c r="J35" s="5">
        <v>246000</v>
      </c>
      <c r="K35" s="5">
        <f>258000+11000</f>
        <v>269000</v>
      </c>
      <c r="L35" s="5">
        <v>320000</v>
      </c>
      <c r="M35" s="5">
        <f>302000+14000</f>
        <v>316000</v>
      </c>
      <c r="N35" s="5">
        <f>281000+12000</f>
        <v>293000</v>
      </c>
      <c r="O35" s="5">
        <f>111000+139000+71000</f>
        <v>321000</v>
      </c>
    </row>
    <row r="36" spans="1:15" ht="12">
      <c r="A36" s="1" t="s">
        <v>7</v>
      </c>
      <c r="B36" s="39">
        <f>SUM(B31:B35)</f>
        <v>671000</v>
      </c>
      <c r="C36" s="7">
        <f aca="true" t="shared" si="3" ref="C36:O36">SUM(C31:C35)</f>
        <v>658000</v>
      </c>
      <c r="D36" s="7">
        <f t="shared" si="3"/>
        <v>627000</v>
      </c>
      <c r="E36" s="7">
        <f t="shared" si="3"/>
        <v>625000</v>
      </c>
      <c r="F36" s="7">
        <f t="shared" si="3"/>
        <v>631000</v>
      </c>
      <c r="G36" s="7">
        <f t="shared" si="3"/>
        <v>636000</v>
      </c>
      <c r="H36" s="7">
        <f t="shared" si="3"/>
        <v>409000</v>
      </c>
      <c r="I36" s="7">
        <f t="shared" si="3"/>
        <v>578000</v>
      </c>
      <c r="J36" s="7">
        <f t="shared" si="3"/>
        <v>349000</v>
      </c>
      <c r="K36" s="7">
        <f t="shared" si="3"/>
        <v>507000</v>
      </c>
      <c r="L36" s="7">
        <f t="shared" si="3"/>
        <v>392000</v>
      </c>
      <c r="M36" s="7">
        <f t="shared" si="3"/>
        <v>565000</v>
      </c>
      <c r="N36" s="7">
        <f t="shared" si="3"/>
        <v>619000</v>
      </c>
      <c r="O36" s="7">
        <f t="shared" si="3"/>
        <v>610000</v>
      </c>
    </row>
    <row r="37" spans="2:14" ht="12">
      <c r="B37" s="3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2">
      <c r="A38" s="1" t="s">
        <v>13</v>
      </c>
      <c r="B38" s="3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">
      <c r="A39" s="2" t="s">
        <v>38</v>
      </c>
      <c r="B39" s="33">
        <v>0</v>
      </c>
      <c r="C39" s="5">
        <v>0</v>
      </c>
      <c r="D39" s="5">
        <v>0</v>
      </c>
      <c r="E39" s="5">
        <v>25000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/>
    </row>
    <row r="40" spans="1:15" ht="12">
      <c r="A40" s="2" t="s">
        <v>43</v>
      </c>
      <c r="B40" s="33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75000</v>
      </c>
      <c r="J40" s="5">
        <v>155000</v>
      </c>
      <c r="K40" s="5">
        <v>80000</v>
      </c>
      <c r="L40" s="5">
        <v>92000</v>
      </c>
      <c r="M40" s="5">
        <v>99000</v>
      </c>
      <c r="N40" s="5">
        <v>157000</v>
      </c>
      <c r="O40" s="5">
        <v>208000</v>
      </c>
    </row>
    <row r="41" spans="1:15" ht="12">
      <c r="A41" s="2" t="s">
        <v>36</v>
      </c>
      <c r="B41" s="33">
        <v>76000</v>
      </c>
      <c r="C41" s="5">
        <v>86000</v>
      </c>
      <c r="D41" s="5">
        <v>79000</v>
      </c>
      <c r="E41" s="5">
        <v>74000</v>
      </c>
      <c r="F41" s="5">
        <v>73000</v>
      </c>
      <c r="G41" s="5">
        <v>61000</v>
      </c>
      <c r="H41" s="5">
        <v>27000</v>
      </c>
      <c r="I41" s="5">
        <v>0</v>
      </c>
      <c r="J41" s="5">
        <v>155000</v>
      </c>
      <c r="K41" s="5">
        <v>0</v>
      </c>
      <c r="L41" s="5">
        <v>26000</v>
      </c>
      <c r="M41" s="5">
        <v>28000</v>
      </c>
      <c r="N41" s="5">
        <v>33000</v>
      </c>
      <c r="O41" s="5">
        <v>34000</v>
      </c>
    </row>
    <row r="42" spans="1:15" ht="12">
      <c r="A42" s="2" t="s">
        <v>14</v>
      </c>
      <c r="B42" s="39">
        <f>SUM(B39:B41)</f>
        <v>76000</v>
      </c>
      <c r="C42" s="7">
        <f>SUM(C39:C41)</f>
        <v>86000</v>
      </c>
      <c r="D42" s="7">
        <f>SUM(D39:D41)</f>
        <v>79000</v>
      </c>
      <c r="E42" s="7">
        <f>SUM(E39:E41)</f>
        <v>99000</v>
      </c>
      <c r="F42" s="7">
        <f aca="true" t="shared" si="4" ref="F42:O42">SUM(F39:F41)</f>
        <v>73000</v>
      </c>
      <c r="G42" s="7">
        <f t="shared" si="4"/>
        <v>61000</v>
      </c>
      <c r="H42" s="7">
        <f t="shared" si="4"/>
        <v>27000</v>
      </c>
      <c r="I42" s="7">
        <f t="shared" si="4"/>
        <v>75000</v>
      </c>
      <c r="J42" s="7">
        <f t="shared" si="4"/>
        <v>310000</v>
      </c>
      <c r="K42" s="7">
        <f t="shared" si="4"/>
        <v>80000</v>
      </c>
      <c r="L42" s="7">
        <f t="shared" si="4"/>
        <v>118000</v>
      </c>
      <c r="M42" s="7">
        <f t="shared" si="4"/>
        <v>127000</v>
      </c>
      <c r="N42" s="7">
        <f t="shared" si="4"/>
        <v>190000</v>
      </c>
      <c r="O42" s="7">
        <f t="shared" si="4"/>
        <v>242000</v>
      </c>
    </row>
    <row r="43" spans="2:14" ht="12">
      <c r="B43" s="3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5" ht="12">
      <c r="A44" s="1" t="s">
        <v>8</v>
      </c>
      <c r="B44" s="37">
        <f>B26-B42-B36</f>
        <v>26261000</v>
      </c>
      <c r="C44" s="6">
        <f aca="true" t="shared" si="5" ref="C44:O44">C26-C42-C36</f>
        <v>26099000</v>
      </c>
      <c r="D44" s="6">
        <f t="shared" si="5"/>
        <v>27508000</v>
      </c>
      <c r="E44" s="6">
        <f t="shared" si="5"/>
        <v>27171000</v>
      </c>
      <c r="F44" s="6">
        <f t="shared" si="5"/>
        <v>24866000</v>
      </c>
      <c r="G44" s="6">
        <f t="shared" si="5"/>
        <v>22054000</v>
      </c>
      <c r="H44" s="6">
        <f t="shared" si="5"/>
        <v>20098000</v>
      </c>
      <c r="I44" s="6">
        <f t="shared" si="5"/>
        <v>17203000</v>
      </c>
      <c r="J44" s="6">
        <f t="shared" si="5"/>
        <v>14814000</v>
      </c>
      <c r="K44" s="6">
        <f t="shared" si="5"/>
        <v>14307000</v>
      </c>
      <c r="L44" s="6">
        <f t="shared" si="5"/>
        <v>13230000</v>
      </c>
      <c r="M44" s="6">
        <f t="shared" si="5"/>
        <v>11358000</v>
      </c>
      <c r="N44" s="6">
        <f t="shared" si="5"/>
        <v>8986000</v>
      </c>
      <c r="O44" s="6">
        <f t="shared" si="5"/>
        <v>7212000</v>
      </c>
    </row>
    <row r="45" spans="2:14" ht="12">
      <c r="B45" s="3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5" ht="12.75" thickBot="1">
      <c r="A46" s="1" t="s">
        <v>46</v>
      </c>
      <c r="B46" s="42">
        <f>B44+B42+B36</f>
        <v>27008000</v>
      </c>
      <c r="C46" s="8">
        <f aca="true" t="shared" si="6" ref="C46:O46">C44+C42+C36</f>
        <v>26843000</v>
      </c>
      <c r="D46" s="8">
        <f t="shared" si="6"/>
        <v>28214000</v>
      </c>
      <c r="E46" s="8">
        <f>E44+E42+E36</f>
        <v>27895000</v>
      </c>
      <c r="F46" s="8">
        <f t="shared" si="6"/>
        <v>25570000</v>
      </c>
      <c r="G46" s="8">
        <f t="shared" si="6"/>
        <v>22751000</v>
      </c>
      <c r="H46" s="8">
        <f t="shared" si="6"/>
        <v>20534000</v>
      </c>
      <c r="I46" s="8">
        <f t="shared" si="6"/>
        <v>17856000</v>
      </c>
      <c r="J46" s="8">
        <f t="shared" si="6"/>
        <v>15473000</v>
      </c>
      <c r="K46" s="8">
        <f t="shared" si="6"/>
        <v>14894000</v>
      </c>
      <c r="L46" s="8">
        <f t="shared" si="6"/>
        <v>13740000</v>
      </c>
      <c r="M46" s="8">
        <f t="shared" si="6"/>
        <v>12050000</v>
      </c>
      <c r="N46" s="8">
        <f t="shared" si="6"/>
        <v>9795000</v>
      </c>
      <c r="O46" s="8">
        <f t="shared" si="6"/>
        <v>8064000</v>
      </c>
    </row>
    <row r="47" spans="2:15" ht="12.75" thickTop="1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  <row r="48" spans="1:15" s="1" customFormat="1" ht="12">
      <c r="A48" s="1" t="s">
        <v>18</v>
      </c>
      <c r="B48" s="37">
        <v>5093584</v>
      </c>
      <c r="C48" s="6">
        <v>5102919</v>
      </c>
      <c r="D48" s="6">
        <v>5307829</v>
      </c>
      <c r="E48" s="6">
        <v>5340769</v>
      </c>
      <c r="F48" s="6">
        <v>5360740</v>
      </c>
      <c r="G48" s="6">
        <v>5399982</v>
      </c>
      <c r="H48" s="6">
        <v>5402528</v>
      </c>
      <c r="I48" s="6">
        <v>5402528</v>
      </c>
      <c r="J48" s="6">
        <v>5588686</v>
      </c>
      <c r="K48" s="6">
        <v>5892881</v>
      </c>
      <c r="L48" s="6">
        <v>6043111</v>
      </c>
      <c r="M48" s="6">
        <v>6018151</v>
      </c>
      <c r="N48" s="6">
        <v>6053483</v>
      </c>
      <c r="O48" s="6">
        <v>6068109</v>
      </c>
    </row>
    <row r="49" spans="1:15" ht="12">
      <c r="A49" s="1" t="s">
        <v>9</v>
      </c>
      <c r="B49" s="43">
        <f>B44/B48</f>
        <v>5.155701761274576</v>
      </c>
      <c r="C49" s="10">
        <f aca="true" t="shared" si="7" ref="C49:O49">C44/C48</f>
        <v>5.114523667728216</v>
      </c>
      <c r="D49" s="10">
        <f t="shared" si="7"/>
        <v>5.182533197659533</v>
      </c>
      <c r="E49" s="10">
        <f t="shared" si="7"/>
        <v>5.087469613458286</v>
      </c>
      <c r="F49" s="10">
        <f t="shared" si="7"/>
        <v>4.638538709208057</v>
      </c>
      <c r="G49" s="10">
        <f t="shared" si="7"/>
        <v>4.0840876876997</v>
      </c>
      <c r="H49" s="10">
        <f t="shared" si="7"/>
        <v>3.7201102891090985</v>
      </c>
      <c r="I49" s="10">
        <f t="shared" si="7"/>
        <v>3.1842500399812828</v>
      </c>
      <c r="J49" s="10">
        <f t="shared" si="7"/>
        <v>2.6507125288484628</v>
      </c>
      <c r="K49" s="10">
        <f t="shared" si="7"/>
        <v>2.4278447163619967</v>
      </c>
      <c r="L49" s="10">
        <f t="shared" si="7"/>
        <v>2.1892697320965975</v>
      </c>
      <c r="M49" s="10">
        <f t="shared" si="7"/>
        <v>1.8872906312919036</v>
      </c>
      <c r="N49" s="10">
        <f t="shared" si="7"/>
        <v>1.484434663482164</v>
      </c>
      <c r="O49" s="4">
        <f t="shared" si="7"/>
        <v>1.1885086441262014</v>
      </c>
    </row>
    <row r="50" spans="1:15" ht="12">
      <c r="A50" s="1" t="s">
        <v>15</v>
      </c>
      <c r="B50" s="38">
        <f>B49</f>
        <v>5.155701761274576</v>
      </c>
      <c r="C50" s="4">
        <f aca="true" t="shared" si="8" ref="C50:O50">C49</f>
        <v>5.114523667728216</v>
      </c>
      <c r="D50" s="4">
        <f t="shared" si="8"/>
        <v>5.182533197659533</v>
      </c>
      <c r="E50" s="4">
        <f t="shared" si="8"/>
        <v>5.087469613458286</v>
      </c>
      <c r="F50" s="4">
        <f t="shared" si="8"/>
        <v>4.638538709208057</v>
      </c>
      <c r="G50" s="4">
        <f t="shared" si="8"/>
        <v>4.0840876876997</v>
      </c>
      <c r="H50" s="4">
        <f t="shared" si="8"/>
        <v>3.7201102891090985</v>
      </c>
      <c r="I50" s="4">
        <f t="shared" si="8"/>
        <v>3.1842500399812828</v>
      </c>
      <c r="J50" s="4">
        <f t="shared" si="8"/>
        <v>2.6507125288484628</v>
      </c>
      <c r="K50" s="4">
        <f t="shared" si="8"/>
        <v>2.4278447163619967</v>
      </c>
      <c r="L50" s="4">
        <f t="shared" si="8"/>
        <v>2.1892697320965975</v>
      </c>
      <c r="M50" s="4">
        <f t="shared" si="8"/>
        <v>1.8872906312919036</v>
      </c>
      <c r="N50" s="4">
        <f t="shared" si="8"/>
        <v>1.484434663482164</v>
      </c>
      <c r="O50" s="4">
        <f t="shared" si="8"/>
        <v>1.1885086441262014</v>
      </c>
    </row>
    <row r="51" spans="1:15" ht="12">
      <c r="A51" s="1" t="s">
        <v>44</v>
      </c>
      <c r="B51" s="38">
        <f>(B7+B8)/B48</f>
        <v>4.2812683564264375</v>
      </c>
      <c r="C51" s="4">
        <f aca="true" t="shared" si="9" ref="C51:O51">(C7+C8)/C48</f>
        <v>3.990265179596227</v>
      </c>
      <c r="D51" s="4">
        <f t="shared" si="9"/>
        <v>4.070402418766694</v>
      </c>
      <c r="E51" s="4">
        <f t="shared" si="9"/>
        <v>3.9973644244864364</v>
      </c>
      <c r="F51" s="4">
        <f t="shared" si="9"/>
        <v>3.601368467786164</v>
      </c>
      <c r="G51" s="4">
        <f t="shared" si="9"/>
        <v>3.185380988306998</v>
      </c>
      <c r="H51" s="4">
        <f t="shared" si="9"/>
        <v>2.784992507211439</v>
      </c>
      <c r="I51" s="4">
        <f t="shared" si="9"/>
        <v>2.2915198218315576</v>
      </c>
      <c r="J51" s="4">
        <f t="shared" si="9"/>
        <v>1.7505009227571562</v>
      </c>
      <c r="K51" s="4">
        <f t="shared" si="9"/>
        <v>1.47958188872302</v>
      </c>
      <c r="L51" s="4">
        <f t="shared" si="9"/>
        <v>1.2571339497156349</v>
      </c>
      <c r="M51" s="4">
        <f t="shared" si="9"/>
        <v>1.1006702889309357</v>
      </c>
      <c r="N51" s="4">
        <f t="shared" si="9"/>
        <v>0.8864318277593247</v>
      </c>
      <c r="O51" s="4">
        <f t="shared" si="9"/>
        <v>0.6728620069283529</v>
      </c>
    </row>
    <row r="52" spans="1:15" ht="12">
      <c r="A52" s="1" t="s">
        <v>23</v>
      </c>
      <c r="B52" s="38">
        <f>(B15-B36-B42)/B48</f>
        <v>4.934639342356973</v>
      </c>
      <c r="C52" s="4">
        <f aca="true" t="shared" si="10" ref="C52:O52">(C15-C36-C42)/C48</f>
        <v>4.89523741215567</v>
      </c>
      <c r="D52" s="4">
        <f t="shared" si="10"/>
        <v>4.961727290008778</v>
      </c>
      <c r="E52" s="4">
        <f t="shared" si="10"/>
        <v>4.866340409030984</v>
      </c>
      <c r="F52" s="4">
        <f t="shared" si="10"/>
        <v>4.4227102974589325</v>
      </c>
      <c r="G52" s="4">
        <f t="shared" si="10"/>
        <v>3.8929759395494283</v>
      </c>
      <c r="H52" s="4">
        <f t="shared" si="10"/>
        <v>3.520018776395051</v>
      </c>
      <c r="I52" s="4">
        <f t="shared" si="10"/>
        <v>2.968240053545303</v>
      </c>
      <c r="J52" s="4">
        <f t="shared" si="10"/>
        <v>2.4547809628238193</v>
      </c>
      <c r="K52" s="4">
        <f t="shared" si="10"/>
        <v>2.2247182659890807</v>
      </c>
      <c r="L52" s="4">
        <f t="shared" si="10"/>
        <v>1.9696808481591683</v>
      </c>
      <c r="M52" s="4">
        <f t="shared" si="10"/>
        <v>1.7312626419642845</v>
      </c>
      <c r="N52" s="4">
        <f t="shared" si="10"/>
        <v>1.3337775954768518</v>
      </c>
      <c r="O52" s="4">
        <f t="shared" si="10"/>
        <v>1.0693611469405049</v>
      </c>
    </row>
    <row r="53" spans="1:15" ht="12">
      <c r="A53" s="1"/>
      <c r="B53" s="38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">
      <c r="A54" s="1" t="s">
        <v>92</v>
      </c>
      <c r="B54" s="38">
        <f>B8/B48</f>
        <v>3.7511897320236596</v>
      </c>
      <c r="C54" s="48">
        <f aca="true" t="shared" si="11" ref="C54:O54">C8/C48</f>
        <v>3.0749067347531875</v>
      </c>
      <c r="D54" s="48">
        <f t="shared" si="11"/>
        <v>3.3032337703418855</v>
      </c>
      <c r="E54" s="48">
        <f t="shared" si="11"/>
        <v>3.134005608555622</v>
      </c>
      <c r="F54" s="48">
        <f t="shared" si="11"/>
        <v>2.5763234180355696</v>
      </c>
      <c r="G54" s="48">
        <f t="shared" si="11"/>
        <v>2.1759331790365226</v>
      </c>
      <c r="H54" s="48">
        <f t="shared" si="11"/>
        <v>1.9927707917478632</v>
      </c>
      <c r="I54" s="48">
        <f t="shared" si="11"/>
        <v>1.7919388849072138</v>
      </c>
      <c r="J54" s="48">
        <f t="shared" si="11"/>
        <v>1.5547482896695215</v>
      </c>
      <c r="K54" s="48">
        <f t="shared" si="11"/>
        <v>1.055001789447301</v>
      </c>
      <c r="L54" s="48">
        <f t="shared" si="11"/>
        <v>1.0986063304149138</v>
      </c>
      <c r="M54" s="48">
        <f t="shared" si="11"/>
        <v>0.9079200571737067</v>
      </c>
      <c r="N54" s="48">
        <f t="shared" si="11"/>
        <v>0.7372615071356441</v>
      </c>
      <c r="O54" s="48">
        <f t="shared" si="11"/>
        <v>0.5652502286956282</v>
      </c>
    </row>
    <row r="55" ht="12">
      <c r="B55" s="33"/>
    </row>
    <row r="56" spans="1:21" s="1" customFormat="1" ht="12">
      <c r="A56" s="1" t="s">
        <v>40</v>
      </c>
      <c r="B56" s="43">
        <v>0.17</v>
      </c>
      <c r="C56" s="10">
        <v>0.17</v>
      </c>
      <c r="D56" s="10">
        <v>0.17</v>
      </c>
      <c r="E56" s="10">
        <v>0.15</v>
      </c>
      <c r="F56" s="10">
        <v>0.1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6">
        <v>0</v>
      </c>
      <c r="P56" s="10"/>
      <c r="Q56" s="10"/>
      <c r="R56" s="10"/>
      <c r="S56" s="17"/>
      <c r="T56" s="17"/>
      <c r="U56" s="17"/>
    </row>
    <row r="57" spans="2:21" ht="12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P57" s="15"/>
      <c r="Q57" s="15"/>
      <c r="R57" s="15"/>
      <c r="S57" s="18"/>
      <c r="T57" s="18"/>
      <c r="U57" s="18"/>
    </row>
    <row r="58" spans="2:18" ht="12">
      <c r="B58" s="16"/>
      <c r="C58" s="21">
        <f>((C49/O49)^(1/12))-1</f>
        <v>0.12931969973536672</v>
      </c>
      <c r="D58" s="19" t="s">
        <v>99</v>
      </c>
      <c r="E58" s="20"/>
      <c r="F58" s="20"/>
      <c r="G58" s="16"/>
      <c r="H58" s="16"/>
      <c r="I58" s="16"/>
      <c r="J58" s="16"/>
      <c r="K58" s="16"/>
      <c r="L58" s="16"/>
      <c r="M58" s="16"/>
      <c r="N58" s="16"/>
      <c r="P58" s="16"/>
      <c r="Q58" s="16"/>
      <c r="R58" s="16"/>
    </row>
    <row r="60" ht="12">
      <c r="D60" s="18"/>
    </row>
    <row r="61" spans="1:14" ht="12">
      <c r="A61" s="2" t="s">
        <v>93</v>
      </c>
      <c r="B61" s="5">
        <f>B44-C44</f>
        <v>162000</v>
      </c>
      <c r="C61" s="5">
        <f aca="true" t="shared" si="12" ref="C61:N61">C44-D44</f>
        <v>-1409000</v>
      </c>
      <c r="D61" s="5">
        <f t="shared" si="12"/>
        <v>337000</v>
      </c>
      <c r="E61" s="5">
        <f t="shared" si="12"/>
        <v>2305000</v>
      </c>
      <c r="F61" s="5">
        <f t="shared" si="12"/>
        <v>2812000</v>
      </c>
      <c r="G61" s="5">
        <f t="shared" si="12"/>
        <v>1956000</v>
      </c>
      <c r="H61" s="5">
        <f t="shared" si="12"/>
        <v>2895000</v>
      </c>
      <c r="I61" s="5">
        <f t="shared" si="12"/>
        <v>2389000</v>
      </c>
      <c r="J61" s="5">
        <f t="shared" si="12"/>
        <v>507000</v>
      </c>
      <c r="K61" s="5">
        <f t="shared" si="12"/>
        <v>1077000</v>
      </c>
      <c r="L61" s="5">
        <f t="shared" si="12"/>
        <v>1872000</v>
      </c>
      <c r="M61" s="5">
        <f t="shared" si="12"/>
        <v>2372000</v>
      </c>
      <c r="N61" s="5">
        <f t="shared" si="12"/>
        <v>1774000</v>
      </c>
    </row>
    <row r="62" spans="1:2" ht="12">
      <c r="A62" s="1" t="s">
        <v>95</v>
      </c>
      <c r="B62" s="6">
        <f>SUM(B61:N61)</f>
        <v>19049000</v>
      </c>
    </row>
    <row r="63" spans="1:2" ht="12">
      <c r="A63" s="1" t="s">
        <v>96</v>
      </c>
      <c r="B63" s="6">
        <f>'Operating Summary'!B80</f>
        <v>21263000</v>
      </c>
    </row>
    <row r="65" ht="12">
      <c r="C65" s="49"/>
    </row>
    <row r="66" spans="2:5" ht="12">
      <c r="B66" s="15"/>
      <c r="C66" s="49"/>
      <c r="E66" s="2" t="s">
        <v>105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80" sqref="B80"/>
    </sheetView>
  </sheetViews>
  <sheetFormatPr defaultColWidth="9.140625" defaultRowHeight="15"/>
  <cols>
    <col min="1" max="1" width="34.421875" style="2" bestFit="1" customWidth="1"/>
    <col min="2" max="2" width="11.00390625" style="5" customWidth="1"/>
    <col min="3" max="25" width="11.00390625" style="2" customWidth="1"/>
    <col min="26" max="16384" width="9.140625" style="2" customWidth="1"/>
  </cols>
  <sheetData>
    <row r="1" ht="12">
      <c r="A1" s="52" t="s">
        <v>102</v>
      </c>
    </row>
    <row r="2" ht="12">
      <c r="A2" s="53" t="s">
        <v>24</v>
      </c>
    </row>
    <row r="3" ht="12">
      <c r="A3" s="53" t="s">
        <v>106</v>
      </c>
    </row>
    <row r="4" spans="1:3" ht="12">
      <c r="A4" s="3"/>
      <c r="C4" s="50" t="s">
        <v>47</v>
      </c>
    </row>
    <row r="5" spans="2:28" s="1" customFormat="1" ht="12">
      <c r="B5" s="32" t="s">
        <v>48</v>
      </c>
      <c r="C5" s="14">
        <v>39933</v>
      </c>
      <c r="D5" s="14">
        <v>39568</v>
      </c>
      <c r="E5" s="14">
        <v>39202</v>
      </c>
      <c r="F5" s="14">
        <v>38837</v>
      </c>
      <c r="G5" s="14">
        <v>38472</v>
      </c>
      <c r="H5" s="14">
        <v>38107</v>
      </c>
      <c r="I5" s="25">
        <v>37741</v>
      </c>
      <c r="J5" s="25">
        <v>37376</v>
      </c>
      <c r="K5" s="25">
        <v>37011</v>
      </c>
      <c r="L5" s="25">
        <v>36646</v>
      </c>
      <c r="M5" s="25">
        <v>36280</v>
      </c>
      <c r="N5" s="25">
        <v>35915</v>
      </c>
      <c r="O5" s="25">
        <v>35550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6" ht="12">
      <c r="A6" s="2" t="s">
        <v>49</v>
      </c>
      <c r="B6" s="33">
        <v>3840000</v>
      </c>
      <c r="C6" s="5">
        <v>8822000</v>
      </c>
      <c r="D6" s="5">
        <v>11444000</v>
      </c>
      <c r="E6" s="5">
        <v>13419000</v>
      </c>
      <c r="F6" s="5">
        <v>14254000</v>
      </c>
      <c r="G6" s="5">
        <v>13113000</v>
      </c>
      <c r="H6" s="5">
        <v>12783000</v>
      </c>
      <c r="I6" s="24">
        <v>12895000</v>
      </c>
      <c r="J6" s="24">
        <v>12831000</v>
      </c>
      <c r="K6" s="24">
        <v>13914000</v>
      </c>
      <c r="L6" s="24">
        <v>13485000</v>
      </c>
      <c r="M6" s="24">
        <v>13078000</v>
      </c>
      <c r="N6" s="24">
        <v>11508000</v>
      </c>
      <c r="O6" s="24">
        <v>11059000</v>
      </c>
      <c r="P6" s="5"/>
      <c r="Q6" s="5"/>
      <c r="R6" s="5"/>
      <c r="S6" s="5"/>
      <c r="T6" s="5"/>
      <c r="U6" s="5"/>
      <c r="V6" s="5"/>
      <c r="W6" s="12"/>
      <c r="X6" s="12"/>
      <c r="Y6" s="12"/>
      <c r="Z6" s="12"/>
    </row>
    <row r="7" spans="1:26" ht="12">
      <c r="A7" s="2" t="s">
        <v>50</v>
      </c>
      <c r="B7" s="33">
        <v>2323000</v>
      </c>
      <c r="C7" s="5">
        <v>4646000</v>
      </c>
      <c r="D7" s="5">
        <v>5755000</v>
      </c>
      <c r="E7" s="5">
        <v>6506000</v>
      </c>
      <c r="F7" s="5">
        <v>6788000</v>
      </c>
      <c r="G7" s="5">
        <v>6230000</v>
      </c>
      <c r="H7" s="5">
        <v>6190000</v>
      </c>
      <c r="I7" s="24">
        <v>6327000</v>
      </c>
      <c r="J7" s="24">
        <v>6626000</v>
      </c>
      <c r="K7" s="24">
        <v>7321000</v>
      </c>
      <c r="L7" s="24">
        <v>6842000</v>
      </c>
      <c r="M7" s="24">
        <v>6870000</v>
      </c>
      <c r="N7" s="24">
        <v>6089000</v>
      </c>
      <c r="O7" s="24">
        <v>5798000</v>
      </c>
      <c r="P7" s="5"/>
      <c r="Q7" s="5"/>
      <c r="R7" s="5"/>
      <c r="S7" s="5"/>
      <c r="T7" s="5"/>
      <c r="U7" s="5"/>
      <c r="V7" s="5"/>
      <c r="W7" s="12"/>
      <c r="X7" s="12"/>
      <c r="Y7" s="12"/>
      <c r="Z7" s="12"/>
    </row>
    <row r="8" spans="1:26" ht="12">
      <c r="A8" s="2" t="s">
        <v>19</v>
      </c>
      <c r="B8" s="34">
        <f>B6-B7</f>
        <v>1517000</v>
      </c>
      <c r="C8" s="9">
        <f>C6-C7</f>
        <v>4176000</v>
      </c>
      <c r="D8" s="9">
        <f aca="true" t="shared" si="0" ref="D8:O8">D6-D7</f>
        <v>5689000</v>
      </c>
      <c r="E8" s="9">
        <f t="shared" si="0"/>
        <v>6913000</v>
      </c>
      <c r="F8" s="9">
        <f t="shared" si="0"/>
        <v>7466000</v>
      </c>
      <c r="G8" s="9">
        <f t="shared" si="0"/>
        <v>6883000</v>
      </c>
      <c r="H8" s="9">
        <f t="shared" si="0"/>
        <v>6593000</v>
      </c>
      <c r="I8" s="26">
        <f t="shared" si="0"/>
        <v>6568000</v>
      </c>
      <c r="J8" s="26">
        <f t="shared" si="0"/>
        <v>6205000</v>
      </c>
      <c r="K8" s="26">
        <f t="shared" si="0"/>
        <v>6593000</v>
      </c>
      <c r="L8" s="26">
        <f t="shared" si="0"/>
        <v>6643000</v>
      </c>
      <c r="M8" s="26">
        <f t="shared" si="0"/>
        <v>6208000</v>
      </c>
      <c r="N8" s="26">
        <f t="shared" si="0"/>
        <v>5419000</v>
      </c>
      <c r="O8" s="26">
        <f t="shared" si="0"/>
        <v>5261000</v>
      </c>
      <c r="P8" s="5"/>
      <c r="Q8" s="5"/>
      <c r="R8" s="5"/>
      <c r="S8" s="5"/>
      <c r="T8" s="5"/>
      <c r="U8" s="5"/>
      <c r="V8" s="5"/>
      <c r="W8" s="12"/>
      <c r="X8" s="12"/>
      <c r="Y8" s="12"/>
      <c r="Z8" s="12"/>
    </row>
    <row r="9" spans="1:26" ht="12">
      <c r="A9" s="2" t="s">
        <v>20</v>
      </c>
      <c r="B9" s="35">
        <f>B8/B6</f>
        <v>0.39505208333333336</v>
      </c>
      <c r="C9" s="11">
        <f>C8/C6</f>
        <v>0.4733620494218998</v>
      </c>
      <c r="D9" s="11">
        <f aca="true" t="shared" si="1" ref="D9:O9">D8/D6</f>
        <v>0.497116392869626</v>
      </c>
      <c r="E9" s="11">
        <f t="shared" si="1"/>
        <v>0.5151650644608391</v>
      </c>
      <c r="F9" s="11">
        <f t="shared" si="1"/>
        <v>0.5237827978111408</v>
      </c>
      <c r="G9" s="11">
        <f t="shared" si="1"/>
        <v>0.5248989552352628</v>
      </c>
      <c r="H9" s="11">
        <f t="shared" si="1"/>
        <v>0.5157631228975984</v>
      </c>
      <c r="I9" s="27">
        <f t="shared" si="1"/>
        <v>0.5093447072508724</v>
      </c>
      <c r="J9" s="27">
        <f t="shared" si="1"/>
        <v>0.4835944197646325</v>
      </c>
      <c r="K9" s="27">
        <f t="shared" si="1"/>
        <v>0.4738392985482248</v>
      </c>
      <c r="L9" s="27">
        <f t="shared" si="1"/>
        <v>0.49262143121987395</v>
      </c>
      <c r="M9" s="27">
        <f t="shared" si="1"/>
        <v>0.4746903196207371</v>
      </c>
      <c r="N9" s="27">
        <f t="shared" si="1"/>
        <v>0.47088981578032674</v>
      </c>
      <c r="O9" s="27">
        <f t="shared" si="1"/>
        <v>0.475721132109594</v>
      </c>
      <c r="P9" s="5"/>
      <c r="Q9" s="5"/>
      <c r="R9" s="5"/>
      <c r="S9" s="5"/>
      <c r="T9" s="5"/>
      <c r="U9" s="5"/>
      <c r="V9" s="5"/>
      <c r="W9" s="12"/>
      <c r="X9" s="12"/>
      <c r="Y9" s="12"/>
      <c r="Z9" s="12"/>
    </row>
    <row r="10" spans="2:26" ht="12">
      <c r="B10" s="33"/>
      <c r="C10" s="5"/>
      <c r="D10" s="5"/>
      <c r="E10" s="5"/>
      <c r="F10" s="5"/>
      <c r="G10" s="5"/>
      <c r="H10" s="5"/>
      <c r="I10" s="24"/>
      <c r="J10" s="24"/>
      <c r="K10" s="24"/>
      <c r="L10" s="24"/>
      <c r="M10" s="24"/>
      <c r="N10" s="24"/>
      <c r="O10" s="24"/>
      <c r="P10" s="5"/>
      <c r="Q10" s="5"/>
      <c r="R10" s="5"/>
      <c r="S10" s="5"/>
      <c r="T10" s="5"/>
      <c r="U10" s="5"/>
      <c r="V10" s="5"/>
      <c r="W10" s="12"/>
      <c r="X10" s="12"/>
      <c r="Y10" s="12"/>
      <c r="Z10" s="12"/>
    </row>
    <row r="11" spans="1:26" ht="12">
      <c r="A11" s="2" t="s">
        <v>51</v>
      </c>
      <c r="B11" s="33"/>
      <c r="C11" s="5"/>
      <c r="D11" s="5"/>
      <c r="E11" s="5"/>
      <c r="F11" s="5"/>
      <c r="G11" s="5"/>
      <c r="H11" s="5"/>
      <c r="I11" s="24"/>
      <c r="J11" s="24"/>
      <c r="K11" s="24"/>
      <c r="L11" s="24"/>
      <c r="M11" s="24"/>
      <c r="N11" s="24"/>
      <c r="O11" s="24"/>
      <c r="P11" s="5"/>
      <c r="Q11" s="5"/>
      <c r="R11" s="5"/>
      <c r="S11" s="5"/>
      <c r="T11" s="5"/>
      <c r="U11" s="5"/>
      <c r="V11" s="5"/>
      <c r="W11" s="12"/>
      <c r="X11" s="12"/>
      <c r="Y11" s="12"/>
      <c r="Z11" s="12"/>
    </row>
    <row r="12" spans="1:26" ht="12">
      <c r="A12" s="2" t="s">
        <v>52</v>
      </c>
      <c r="B12" s="33">
        <v>348000</v>
      </c>
      <c r="C12" s="5">
        <v>748000</v>
      </c>
      <c r="D12" s="5">
        <v>735000</v>
      </c>
      <c r="E12" s="5">
        <v>689000</v>
      </c>
      <c r="F12" s="5">
        <v>724000</v>
      </c>
      <c r="G12" s="5">
        <v>719000</v>
      </c>
      <c r="H12" s="5">
        <v>693000</v>
      </c>
      <c r="I12" s="24">
        <v>689000</v>
      </c>
      <c r="J12" s="24">
        <v>749000</v>
      </c>
      <c r="K12" s="24">
        <v>783000</v>
      </c>
      <c r="L12" s="24">
        <v>769000</v>
      </c>
      <c r="M12" s="24">
        <v>676000</v>
      </c>
      <c r="N12" s="24">
        <v>584000</v>
      </c>
      <c r="O12" s="24">
        <v>578000</v>
      </c>
      <c r="P12" s="5"/>
      <c r="Q12" s="5"/>
      <c r="R12" s="5"/>
      <c r="S12" s="5"/>
      <c r="T12" s="5"/>
      <c r="U12" s="5"/>
      <c r="V12" s="5"/>
      <c r="W12" s="12"/>
      <c r="X12" s="12"/>
      <c r="Y12" s="12"/>
      <c r="Z12" s="12"/>
    </row>
    <row r="13" spans="1:26" ht="12">
      <c r="A13" s="2" t="s">
        <v>53</v>
      </c>
      <c r="B13" s="33">
        <v>831000</v>
      </c>
      <c r="C13" s="5">
        <v>1813000</v>
      </c>
      <c r="D13" s="5">
        <v>2016000</v>
      </c>
      <c r="E13" s="5">
        <v>2443000</v>
      </c>
      <c r="F13" s="5">
        <v>2512000</v>
      </c>
      <c r="G13" s="5">
        <v>2403000</v>
      </c>
      <c r="H13" s="5">
        <v>2351000</v>
      </c>
      <c r="I13" s="24">
        <v>2409000</v>
      </c>
      <c r="J13" s="24">
        <v>2556000</v>
      </c>
      <c r="K13" s="24">
        <v>2546000</v>
      </c>
      <c r="L13" s="24">
        <v>2432000</v>
      </c>
      <c r="M13" s="24">
        <v>2457000</v>
      </c>
      <c r="N13" s="24">
        <v>2071000</v>
      </c>
      <c r="O13" s="24">
        <v>2120000</v>
      </c>
      <c r="P13" s="5"/>
      <c r="Q13" s="5"/>
      <c r="R13" s="5"/>
      <c r="S13" s="5"/>
      <c r="T13" s="5"/>
      <c r="U13" s="5"/>
      <c r="V13" s="5"/>
      <c r="W13" s="12"/>
      <c r="X13" s="12"/>
      <c r="Y13" s="12"/>
      <c r="Z13" s="12"/>
    </row>
    <row r="14" spans="1:26" ht="12">
      <c r="A14" s="2" t="s">
        <v>54</v>
      </c>
      <c r="B14" s="33">
        <v>32000</v>
      </c>
      <c r="C14" s="5">
        <v>79000</v>
      </c>
      <c r="D14" s="5">
        <v>72000</v>
      </c>
      <c r="E14" s="5">
        <v>69000</v>
      </c>
      <c r="F14" s="5">
        <v>79000</v>
      </c>
      <c r="G14" s="5">
        <v>75000</v>
      </c>
      <c r="H14" s="5">
        <v>71000</v>
      </c>
      <c r="I14" s="24">
        <v>62000</v>
      </c>
      <c r="J14" s="24">
        <v>73000</v>
      </c>
      <c r="K14" s="24">
        <v>93000</v>
      </c>
      <c r="L14" s="24">
        <v>163000</v>
      </c>
      <c r="M14" s="24">
        <v>81000</v>
      </c>
      <c r="N14" s="24">
        <v>82000</v>
      </c>
      <c r="O14" s="24">
        <v>18000</v>
      </c>
      <c r="P14" s="5"/>
      <c r="Q14" s="5"/>
      <c r="R14" s="5"/>
      <c r="S14" s="5"/>
      <c r="T14" s="5"/>
      <c r="U14" s="5"/>
      <c r="V14" s="5"/>
      <c r="W14" s="12"/>
      <c r="X14" s="12"/>
      <c r="Y14" s="12"/>
      <c r="Z14" s="12"/>
    </row>
    <row r="15" spans="1:26" ht="12">
      <c r="A15" s="2" t="s">
        <v>55</v>
      </c>
      <c r="B15" s="33">
        <v>23000</v>
      </c>
      <c r="C15" s="5">
        <v>51000</v>
      </c>
      <c r="D15" s="5">
        <v>53000</v>
      </c>
      <c r="E15" s="5">
        <v>53000</v>
      </c>
      <c r="F15" s="5">
        <v>52000</v>
      </c>
      <c r="G15" s="5">
        <v>49000</v>
      </c>
      <c r="H15" s="5">
        <v>49000</v>
      </c>
      <c r="I15" s="24">
        <v>49000</v>
      </c>
      <c r="J15" s="24">
        <v>58000</v>
      </c>
      <c r="K15" s="24">
        <v>56000</v>
      </c>
      <c r="L15" s="24">
        <v>58000</v>
      </c>
      <c r="M15" s="24">
        <v>50000</v>
      </c>
      <c r="N15" s="24">
        <v>51000</v>
      </c>
      <c r="O15" s="24">
        <v>35000</v>
      </c>
      <c r="P15" s="5"/>
      <c r="Q15" s="5"/>
      <c r="R15" s="5"/>
      <c r="S15" s="5"/>
      <c r="T15" s="5"/>
      <c r="U15" s="5"/>
      <c r="V15" s="5"/>
      <c r="W15" s="12"/>
      <c r="X15" s="12"/>
      <c r="Y15" s="12"/>
      <c r="Z15" s="12"/>
    </row>
    <row r="16" spans="1:22" ht="12">
      <c r="A16" s="2" t="s">
        <v>56</v>
      </c>
      <c r="B16" s="34">
        <f>SUM(B12:B15)</f>
        <v>1234000</v>
      </c>
      <c r="C16" s="9">
        <f>SUM(C12:C15)</f>
        <v>2691000</v>
      </c>
      <c r="D16" s="9">
        <f aca="true" t="shared" si="2" ref="D16:O16">SUM(D12:D15)</f>
        <v>2876000</v>
      </c>
      <c r="E16" s="9">
        <f t="shared" si="2"/>
        <v>3254000</v>
      </c>
      <c r="F16" s="9">
        <f t="shared" si="2"/>
        <v>3367000</v>
      </c>
      <c r="G16" s="9">
        <f t="shared" si="2"/>
        <v>3246000</v>
      </c>
      <c r="H16" s="9">
        <f t="shared" si="2"/>
        <v>3164000</v>
      </c>
      <c r="I16" s="26">
        <f t="shared" si="2"/>
        <v>3209000</v>
      </c>
      <c r="J16" s="26">
        <f t="shared" si="2"/>
        <v>3436000</v>
      </c>
      <c r="K16" s="26">
        <f t="shared" si="2"/>
        <v>3478000</v>
      </c>
      <c r="L16" s="26">
        <f t="shared" si="2"/>
        <v>3422000</v>
      </c>
      <c r="M16" s="26">
        <f t="shared" si="2"/>
        <v>3264000</v>
      </c>
      <c r="N16" s="26">
        <f t="shared" si="2"/>
        <v>2788000</v>
      </c>
      <c r="O16" s="26">
        <f t="shared" si="2"/>
        <v>2751000</v>
      </c>
      <c r="P16" s="5"/>
      <c r="Q16" s="5"/>
      <c r="R16" s="5"/>
      <c r="S16" s="5"/>
      <c r="T16" s="5"/>
      <c r="U16" s="5"/>
      <c r="V16" s="5"/>
    </row>
    <row r="17" spans="2:22" ht="12">
      <c r="B17" s="40"/>
      <c r="C17" s="13"/>
      <c r="D17" s="13"/>
      <c r="E17" s="13"/>
      <c r="F17" s="13"/>
      <c r="G17" s="13"/>
      <c r="H17" s="13"/>
      <c r="I17" s="24"/>
      <c r="J17" s="24"/>
      <c r="K17" s="24"/>
      <c r="L17" s="24"/>
      <c r="M17" s="24"/>
      <c r="N17" s="24"/>
      <c r="O17" s="24"/>
      <c r="P17" s="5"/>
      <c r="Q17" s="5"/>
      <c r="R17" s="5"/>
      <c r="S17" s="5"/>
      <c r="T17" s="5"/>
      <c r="U17" s="5"/>
      <c r="V17" s="5"/>
    </row>
    <row r="18" spans="1:22" ht="12">
      <c r="A18" s="2" t="s">
        <v>57</v>
      </c>
      <c r="B18" s="33">
        <f>B8-B16</f>
        <v>283000</v>
      </c>
      <c r="C18" s="5">
        <f>C8-C16</f>
        <v>1485000</v>
      </c>
      <c r="D18" s="5">
        <f aca="true" t="shared" si="3" ref="D18:O18">D8-D16</f>
        <v>2813000</v>
      </c>
      <c r="E18" s="5">
        <f t="shared" si="3"/>
        <v>3659000</v>
      </c>
      <c r="F18" s="5">
        <f t="shared" si="3"/>
        <v>4099000</v>
      </c>
      <c r="G18" s="5">
        <f t="shared" si="3"/>
        <v>3637000</v>
      </c>
      <c r="H18" s="5">
        <f t="shared" si="3"/>
        <v>3429000</v>
      </c>
      <c r="I18" s="24">
        <f t="shared" si="3"/>
        <v>3359000</v>
      </c>
      <c r="J18" s="24">
        <f t="shared" si="3"/>
        <v>2769000</v>
      </c>
      <c r="K18" s="24">
        <f t="shared" si="3"/>
        <v>3115000</v>
      </c>
      <c r="L18" s="24">
        <f t="shared" si="3"/>
        <v>3221000</v>
      </c>
      <c r="M18" s="24">
        <f t="shared" si="3"/>
        <v>2944000</v>
      </c>
      <c r="N18" s="24">
        <f t="shared" si="3"/>
        <v>2631000</v>
      </c>
      <c r="O18" s="24">
        <f t="shared" si="3"/>
        <v>2510000</v>
      </c>
      <c r="P18" s="5"/>
      <c r="Q18" s="5"/>
      <c r="R18" s="5"/>
      <c r="S18" s="5"/>
      <c r="T18" s="5"/>
      <c r="U18" s="5"/>
      <c r="V18" s="5"/>
    </row>
    <row r="19" spans="1:22" ht="12">
      <c r="A19" s="2" t="s">
        <v>58</v>
      </c>
      <c r="B19" s="35">
        <f>B18/B6</f>
        <v>0.07369791666666667</v>
      </c>
      <c r="C19" s="11">
        <f>C18/C6</f>
        <v>0.16832917705735662</v>
      </c>
      <c r="D19" s="11">
        <f aca="true" t="shared" si="4" ref="D19:O19">D18/D6</f>
        <v>0.24580566235581963</v>
      </c>
      <c r="E19" s="11">
        <f t="shared" si="4"/>
        <v>0.2726730754899769</v>
      </c>
      <c r="F19" s="11">
        <f t="shared" si="4"/>
        <v>0.2875684018521117</v>
      </c>
      <c r="G19" s="11">
        <f t="shared" si="4"/>
        <v>0.2773583466788683</v>
      </c>
      <c r="H19" s="11">
        <f t="shared" si="4"/>
        <v>0.2682468904013142</v>
      </c>
      <c r="I19" s="27">
        <f t="shared" si="4"/>
        <v>0.2604885614579294</v>
      </c>
      <c r="J19" s="27">
        <f t="shared" si="4"/>
        <v>0.21580547112462006</v>
      </c>
      <c r="K19" s="27">
        <f t="shared" si="4"/>
        <v>0.22387523357769154</v>
      </c>
      <c r="L19" s="27">
        <f t="shared" si="4"/>
        <v>0.23885799035965888</v>
      </c>
      <c r="M19" s="27">
        <f t="shared" si="4"/>
        <v>0.22511087322220524</v>
      </c>
      <c r="N19" s="27">
        <f t="shared" si="4"/>
        <v>0.2286235662148071</v>
      </c>
      <c r="O19" s="27">
        <f t="shared" si="4"/>
        <v>0.2269644633330319</v>
      </c>
      <c r="P19" s="5"/>
      <c r="Q19" s="5"/>
      <c r="R19" s="5"/>
      <c r="S19" s="5"/>
      <c r="T19" s="5"/>
      <c r="U19" s="5"/>
      <c r="V19" s="5"/>
    </row>
    <row r="20" spans="2:22" ht="12">
      <c r="B20" s="33"/>
      <c r="C20" s="5"/>
      <c r="D20" s="5"/>
      <c r="E20" s="5"/>
      <c r="F20" s="5"/>
      <c r="G20" s="5"/>
      <c r="H20" s="5"/>
      <c r="I20" s="24"/>
      <c r="J20" s="24"/>
      <c r="K20" s="24"/>
      <c r="L20" s="24"/>
      <c r="M20" s="24"/>
      <c r="N20" s="24"/>
      <c r="O20" s="24"/>
      <c r="P20" s="5"/>
      <c r="Q20" s="5"/>
      <c r="R20" s="5"/>
      <c r="S20" s="5"/>
      <c r="T20" s="5"/>
      <c r="U20" s="5"/>
      <c r="V20" s="5"/>
    </row>
    <row r="21" spans="1:22" ht="12">
      <c r="A21" s="2" t="s">
        <v>59</v>
      </c>
      <c r="B21" s="33"/>
      <c r="C21" s="5"/>
      <c r="D21" s="5"/>
      <c r="E21" s="5"/>
      <c r="F21" s="5"/>
      <c r="G21" s="5"/>
      <c r="H21" s="5"/>
      <c r="I21" s="24"/>
      <c r="J21" s="24"/>
      <c r="K21" s="24"/>
      <c r="L21" s="24"/>
      <c r="M21" s="24"/>
      <c r="N21" s="24"/>
      <c r="O21" s="24"/>
      <c r="P21" s="5"/>
      <c r="Q21" s="5"/>
      <c r="R21" s="5"/>
      <c r="S21" s="5"/>
      <c r="T21" s="5"/>
      <c r="U21" s="5"/>
      <c r="V21" s="5"/>
    </row>
    <row r="22" spans="1:22" ht="12">
      <c r="A22" s="2" t="s">
        <v>60</v>
      </c>
      <c r="B22" s="33">
        <v>136000</v>
      </c>
      <c r="C22" s="5">
        <v>58000</v>
      </c>
      <c r="D22" s="5">
        <v>33000</v>
      </c>
      <c r="E22" s="5">
        <v>7000</v>
      </c>
      <c r="F22" s="5">
        <v>30000</v>
      </c>
      <c r="G22" s="5">
        <v>2000</v>
      </c>
      <c r="H22" s="5">
        <v>79000</v>
      </c>
      <c r="I22" s="24">
        <v>11000</v>
      </c>
      <c r="J22" s="24">
        <v>37000</v>
      </c>
      <c r="K22" s="24">
        <v>-20000</v>
      </c>
      <c r="L22" s="24">
        <v>90000</v>
      </c>
      <c r="M22" s="24">
        <v>-17000</v>
      </c>
      <c r="N22" s="24">
        <v>30000</v>
      </c>
      <c r="O22" s="24">
        <v>-25000</v>
      </c>
      <c r="P22" s="5"/>
      <c r="Q22" s="5"/>
      <c r="R22" s="5"/>
      <c r="S22" s="5"/>
      <c r="T22" s="5"/>
      <c r="U22" s="5"/>
      <c r="V22" s="5"/>
    </row>
    <row r="23" spans="1:22" ht="12">
      <c r="A23" s="2" t="s">
        <v>61</v>
      </c>
      <c r="B23" s="33"/>
      <c r="C23" s="5">
        <v>-2000</v>
      </c>
      <c r="D23" s="5">
        <v>-6000</v>
      </c>
      <c r="E23" s="5">
        <v>0</v>
      </c>
      <c r="F23" s="5">
        <v>0</v>
      </c>
      <c r="G23" s="5">
        <v>0</v>
      </c>
      <c r="H23" s="5">
        <v>0</v>
      </c>
      <c r="I23" s="24">
        <v>0</v>
      </c>
      <c r="J23" s="24">
        <v>-1000</v>
      </c>
      <c r="K23" s="24">
        <v>-1000</v>
      </c>
      <c r="L23" s="24">
        <v>-9000</v>
      </c>
      <c r="M23" s="24">
        <v>-21000</v>
      </c>
      <c r="N23" s="24">
        <v>-26000</v>
      </c>
      <c r="O23" s="24">
        <v>-35000</v>
      </c>
      <c r="P23" s="5"/>
      <c r="Q23" s="5"/>
      <c r="R23" s="5"/>
      <c r="S23" s="5"/>
      <c r="T23" s="5"/>
      <c r="U23" s="5"/>
      <c r="V23" s="5"/>
    </row>
    <row r="24" spans="1:22" ht="12">
      <c r="A24" s="2" t="s">
        <v>62</v>
      </c>
      <c r="B24" s="33">
        <v>343000</v>
      </c>
      <c r="C24" s="5">
        <v>768000</v>
      </c>
      <c r="D24" s="5">
        <v>845000</v>
      </c>
      <c r="E24" s="5">
        <v>689000</v>
      </c>
      <c r="F24" s="5">
        <v>440000</v>
      </c>
      <c r="G24" s="5">
        <v>357000</v>
      </c>
      <c r="H24" s="5">
        <v>348000</v>
      </c>
      <c r="I24" s="24">
        <v>302000</v>
      </c>
      <c r="J24" s="24">
        <v>392000</v>
      </c>
      <c r="K24" s="24">
        <v>349000</v>
      </c>
      <c r="L24" s="24">
        <v>294000</v>
      </c>
      <c r="M24" s="24">
        <v>271000</v>
      </c>
      <c r="N24" s="24">
        <v>261000</v>
      </c>
      <c r="O24" s="24">
        <v>191000</v>
      </c>
      <c r="P24" s="5"/>
      <c r="Q24" s="5"/>
      <c r="R24" s="5"/>
      <c r="S24" s="5"/>
      <c r="T24" s="5"/>
      <c r="U24" s="5"/>
      <c r="V24" s="5"/>
    </row>
    <row r="25" spans="1:22" ht="12">
      <c r="A25" s="2" t="s">
        <v>63</v>
      </c>
      <c r="B25" s="33">
        <v>-74000</v>
      </c>
      <c r="C25" s="5">
        <v>-1374000</v>
      </c>
      <c r="D25" s="5">
        <v>-163000</v>
      </c>
      <c r="E25" s="5">
        <v>188000</v>
      </c>
      <c r="F25" s="5">
        <v>-353000</v>
      </c>
      <c r="G25" s="5">
        <v>-89000</v>
      </c>
      <c r="H25" s="5">
        <v>40000</v>
      </c>
      <c r="I25" s="24">
        <v>-59000</v>
      </c>
      <c r="J25" s="24">
        <v>-209000</v>
      </c>
      <c r="K25" s="24">
        <v>101000</v>
      </c>
      <c r="L25" s="24">
        <v>-45000</v>
      </c>
      <c r="M25" s="24">
        <v>126000</v>
      </c>
      <c r="N25" s="24">
        <v>-20000</v>
      </c>
      <c r="O25" s="24">
        <v>9000</v>
      </c>
      <c r="P25" s="5"/>
      <c r="Q25" s="5"/>
      <c r="R25" s="5"/>
      <c r="S25" s="5"/>
      <c r="T25" s="5"/>
      <c r="U25" s="5"/>
      <c r="V25" s="5"/>
    </row>
    <row r="26" spans="1:22" ht="12">
      <c r="A26" s="2" t="s">
        <v>80</v>
      </c>
      <c r="B26" s="33">
        <v>7000</v>
      </c>
      <c r="C26" s="5">
        <v>0</v>
      </c>
      <c r="D26" s="5">
        <v>15000</v>
      </c>
      <c r="E26" s="5">
        <v>0</v>
      </c>
      <c r="F26" s="5">
        <v>0</v>
      </c>
      <c r="G26" s="5"/>
      <c r="H26" s="5"/>
      <c r="I26" s="24"/>
      <c r="J26" s="24"/>
      <c r="K26" s="24"/>
      <c r="L26" s="24"/>
      <c r="M26" s="24"/>
      <c r="N26" s="24"/>
      <c r="O26" s="24"/>
      <c r="P26" s="5"/>
      <c r="Q26" s="5"/>
      <c r="R26" s="5"/>
      <c r="S26" s="5"/>
      <c r="T26" s="5"/>
      <c r="U26" s="5"/>
      <c r="V26" s="5"/>
    </row>
    <row r="27" spans="2:22" ht="12">
      <c r="B27" s="34">
        <f>SUM(B22:B26)</f>
        <v>412000</v>
      </c>
      <c r="C27" s="9">
        <f>SUM(C22:C26)</f>
        <v>-550000</v>
      </c>
      <c r="D27" s="9">
        <f aca="true" t="shared" si="5" ref="D27:O27">SUM(D22:D26)</f>
        <v>724000</v>
      </c>
      <c r="E27" s="9">
        <f t="shared" si="5"/>
        <v>884000</v>
      </c>
      <c r="F27" s="9">
        <f t="shared" si="5"/>
        <v>117000</v>
      </c>
      <c r="G27" s="9">
        <f t="shared" si="5"/>
        <v>270000</v>
      </c>
      <c r="H27" s="9">
        <f t="shared" si="5"/>
        <v>467000</v>
      </c>
      <c r="I27" s="26">
        <f t="shared" si="5"/>
        <v>254000</v>
      </c>
      <c r="J27" s="26">
        <f t="shared" si="5"/>
        <v>219000</v>
      </c>
      <c r="K27" s="26">
        <f t="shared" si="5"/>
        <v>429000</v>
      </c>
      <c r="L27" s="26">
        <f t="shared" si="5"/>
        <v>330000</v>
      </c>
      <c r="M27" s="26">
        <f t="shared" si="5"/>
        <v>359000</v>
      </c>
      <c r="N27" s="26">
        <f t="shared" si="5"/>
        <v>245000</v>
      </c>
      <c r="O27" s="26">
        <f t="shared" si="5"/>
        <v>140000</v>
      </c>
      <c r="P27" s="5"/>
      <c r="Q27" s="5"/>
      <c r="R27" s="5"/>
      <c r="S27" s="5"/>
      <c r="T27" s="5"/>
      <c r="U27" s="5"/>
      <c r="V27" s="5"/>
    </row>
    <row r="28" spans="2:22" ht="12">
      <c r="B28" s="36"/>
      <c r="C28" s="22"/>
      <c r="D28" s="22"/>
      <c r="E28" s="22"/>
      <c r="F28" s="22"/>
      <c r="G28" s="22"/>
      <c r="H28" s="22"/>
      <c r="I28" s="28"/>
      <c r="J28" s="28"/>
      <c r="K28" s="28"/>
      <c r="L28" s="28"/>
      <c r="M28" s="28"/>
      <c r="N28" s="28"/>
      <c r="O28" s="28"/>
      <c r="P28" s="5"/>
      <c r="Q28" s="5"/>
      <c r="R28" s="5"/>
      <c r="S28" s="5"/>
      <c r="T28" s="5"/>
      <c r="U28" s="5"/>
      <c r="V28" s="5"/>
    </row>
    <row r="29" spans="1:22" ht="12">
      <c r="A29" s="2" t="s">
        <v>64</v>
      </c>
      <c r="B29" s="33">
        <f>B18+B27</f>
        <v>695000</v>
      </c>
      <c r="C29" s="5">
        <f>C18+C27</f>
        <v>935000</v>
      </c>
      <c r="D29" s="5">
        <f aca="true" t="shared" si="6" ref="D29:O29">D18+D27</f>
        <v>3537000</v>
      </c>
      <c r="E29" s="5">
        <f t="shared" si="6"/>
        <v>4543000</v>
      </c>
      <c r="F29" s="5">
        <f t="shared" si="6"/>
        <v>4216000</v>
      </c>
      <c r="G29" s="5">
        <f t="shared" si="6"/>
        <v>3907000</v>
      </c>
      <c r="H29" s="5">
        <f t="shared" si="6"/>
        <v>3896000</v>
      </c>
      <c r="I29" s="24">
        <f t="shared" si="6"/>
        <v>3613000</v>
      </c>
      <c r="J29" s="24">
        <f t="shared" si="6"/>
        <v>2988000</v>
      </c>
      <c r="K29" s="24">
        <f t="shared" si="6"/>
        <v>3544000</v>
      </c>
      <c r="L29" s="24">
        <f t="shared" si="6"/>
        <v>3551000</v>
      </c>
      <c r="M29" s="24">
        <f t="shared" si="6"/>
        <v>3303000</v>
      </c>
      <c r="N29" s="24">
        <f t="shared" si="6"/>
        <v>2876000</v>
      </c>
      <c r="O29" s="24">
        <f t="shared" si="6"/>
        <v>2650000</v>
      </c>
      <c r="P29" s="5"/>
      <c r="Q29" s="5"/>
      <c r="R29" s="5"/>
      <c r="S29" s="5"/>
      <c r="T29" s="5"/>
      <c r="U29" s="5"/>
      <c r="V29" s="5"/>
    </row>
    <row r="30" spans="2:22" ht="12">
      <c r="B30" s="33"/>
      <c r="C30" s="5"/>
      <c r="D30" s="5"/>
      <c r="E30" s="5"/>
      <c r="F30" s="5"/>
      <c r="G30" s="5"/>
      <c r="H30" s="5"/>
      <c r="I30" s="24"/>
      <c r="J30" s="24"/>
      <c r="K30" s="24"/>
      <c r="L30" s="24"/>
      <c r="M30" s="24"/>
      <c r="N30" s="24"/>
      <c r="O30" s="24"/>
      <c r="P30" s="5"/>
      <c r="Q30" s="5"/>
      <c r="R30" s="5"/>
      <c r="S30" s="5"/>
      <c r="T30" s="5"/>
      <c r="U30" s="5"/>
      <c r="V30" s="5"/>
    </row>
    <row r="31" spans="1:22" ht="12">
      <c r="A31" s="2" t="s">
        <v>65</v>
      </c>
      <c r="B31" s="33"/>
      <c r="C31" s="5"/>
      <c r="D31" s="5"/>
      <c r="E31" s="5"/>
      <c r="F31" s="5"/>
      <c r="G31" s="5"/>
      <c r="H31" s="5"/>
      <c r="I31" s="24"/>
      <c r="J31" s="24"/>
      <c r="K31" s="24"/>
      <c r="L31" s="24"/>
      <c r="M31" s="24"/>
      <c r="N31" s="24"/>
      <c r="O31" s="24"/>
      <c r="P31" s="5"/>
      <c r="Q31" s="5"/>
      <c r="R31" s="5"/>
      <c r="S31" s="5"/>
      <c r="T31" s="5"/>
      <c r="U31" s="5"/>
      <c r="V31" s="5"/>
    </row>
    <row r="32" spans="1:22" ht="12">
      <c r="A32" s="2" t="s">
        <v>66</v>
      </c>
      <c r="B32" s="33">
        <v>217000</v>
      </c>
      <c r="C32" s="5">
        <v>661000</v>
      </c>
      <c r="D32" s="5">
        <v>1235000</v>
      </c>
      <c r="E32" s="5">
        <v>1483000</v>
      </c>
      <c r="F32" s="5">
        <v>1620000</v>
      </c>
      <c r="G32" s="5">
        <v>1428000</v>
      </c>
      <c r="H32" s="5">
        <v>1439000</v>
      </c>
      <c r="I32" s="24">
        <v>1389000</v>
      </c>
      <c r="J32" s="24">
        <v>1132000</v>
      </c>
      <c r="K32" s="24">
        <v>1328000</v>
      </c>
      <c r="L32" s="24">
        <v>1366000</v>
      </c>
      <c r="M32" s="24">
        <v>1117000</v>
      </c>
      <c r="N32" s="24">
        <v>1006000</v>
      </c>
      <c r="O32" s="24">
        <v>1036000</v>
      </c>
      <c r="P32" s="5"/>
      <c r="Q32" s="5"/>
      <c r="R32" s="5"/>
      <c r="S32" s="5"/>
      <c r="T32" s="5"/>
      <c r="U32" s="5"/>
      <c r="V32" s="5"/>
    </row>
    <row r="33" spans="1:22" ht="12">
      <c r="A33" s="2" t="s">
        <v>67</v>
      </c>
      <c r="B33" s="33">
        <v>5000</v>
      </c>
      <c r="C33" s="5">
        <v>-242000</v>
      </c>
      <c r="D33" s="5">
        <v>37000</v>
      </c>
      <c r="E33" s="5">
        <v>79000</v>
      </c>
      <c r="F33" s="5">
        <v>-136000</v>
      </c>
      <c r="G33" s="5">
        <v>-36000</v>
      </c>
      <c r="H33" s="5">
        <v>46000</v>
      </c>
      <c r="I33" s="24">
        <v>-61000</v>
      </c>
      <c r="J33" s="24">
        <v>0</v>
      </c>
      <c r="K33" s="24">
        <v>-9000</v>
      </c>
      <c r="L33" s="24">
        <v>-2000</v>
      </c>
      <c r="M33" s="24">
        <v>13000</v>
      </c>
      <c r="N33" s="24">
        <v>6000</v>
      </c>
      <c r="O33" s="24">
        <v>-35000</v>
      </c>
      <c r="P33" s="5"/>
      <c r="Q33" s="5"/>
      <c r="R33" s="5"/>
      <c r="S33" s="5"/>
      <c r="T33" s="5"/>
      <c r="U33" s="5"/>
      <c r="V33" s="5"/>
    </row>
    <row r="34" spans="1:22" ht="12">
      <c r="A34" s="2" t="s">
        <v>68</v>
      </c>
      <c r="B34" s="33">
        <f>SUM(B32:B33)</f>
        <v>222000</v>
      </c>
      <c r="C34" s="5">
        <f aca="true" t="shared" si="7" ref="C34:O34">SUM(C32:C33)</f>
        <v>419000</v>
      </c>
      <c r="D34" s="5">
        <f t="shared" si="7"/>
        <v>1272000</v>
      </c>
      <c r="E34" s="5">
        <f t="shared" si="7"/>
        <v>1562000</v>
      </c>
      <c r="F34" s="5">
        <f t="shared" si="7"/>
        <v>1484000</v>
      </c>
      <c r="G34" s="5">
        <f t="shared" si="7"/>
        <v>1392000</v>
      </c>
      <c r="H34" s="5">
        <f t="shared" si="7"/>
        <v>1485000</v>
      </c>
      <c r="I34" s="24">
        <f t="shared" si="7"/>
        <v>1328000</v>
      </c>
      <c r="J34" s="24">
        <f t="shared" si="7"/>
        <v>1132000</v>
      </c>
      <c r="K34" s="24">
        <f t="shared" si="7"/>
        <v>1319000</v>
      </c>
      <c r="L34" s="24">
        <f t="shared" si="7"/>
        <v>1364000</v>
      </c>
      <c r="M34" s="24">
        <f t="shared" si="7"/>
        <v>1130000</v>
      </c>
      <c r="N34" s="24">
        <f t="shared" si="7"/>
        <v>1012000</v>
      </c>
      <c r="O34" s="24">
        <f t="shared" si="7"/>
        <v>1001000</v>
      </c>
      <c r="P34" s="5"/>
      <c r="Q34" s="5"/>
      <c r="R34" s="5"/>
      <c r="S34" s="5"/>
      <c r="T34" s="5"/>
      <c r="U34" s="5"/>
      <c r="V34" s="5"/>
    </row>
    <row r="35" spans="1:22" ht="12">
      <c r="A35" s="2" t="s">
        <v>69</v>
      </c>
      <c r="B35" s="35">
        <f>B34/B29</f>
        <v>0.3194244604316547</v>
      </c>
      <c r="C35" s="11">
        <f>C34/C29</f>
        <v>0.4481283422459893</v>
      </c>
      <c r="D35" s="11">
        <f aca="true" t="shared" si="8" ref="D35:O35">D34/D29</f>
        <v>0.359626802374894</v>
      </c>
      <c r="E35" s="11">
        <f t="shared" si="8"/>
        <v>0.34382566585956414</v>
      </c>
      <c r="F35" s="11">
        <f t="shared" si="8"/>
        <v>0.3519924098671727</v>
      </c>
      <c r="G35" s="11">
        <f t="shared" si="8"/>
        <v>0.3562835935500384</v>
      </c>
      <c r="H35" s="11">
        <f t="shared" si="8"/>
        <v>0.3811601642710472</v>
      </c>
      <c r="I35" s="27">
        <f t="shared" si="8"/>
        <v>0.3675615831718793</v>
      </c>
      <c r="J35" s="27">
        <f t="shared" si="8"/>
        <v>0.3788487282463186</v>
      </c>
      <c r="K35" s="27">
        <f t="shared" si="8"/>
        <v>0.3721783295711061</v>
      </c>
      <c r="L35" s="27">
        <f t="shared" si="8"/>
        <v>0.3841171500985638</v>
      </c>
      <c r="M35" s="27">
        <f t="shared" si="8"/>
        <v>0.3421132303966091</v>
      </c>
      <c r="N35" s="27">
        <f t="shared" si="8"/>
        <v>0.3518776077885953</v>
      </c>
      <c r="O35" s="27">
        <f t="shared" si="8"/>
        <v>0.3777358490566038</v>
      </c>
      <c r="P35" s="5"/>
      <c r="Q35" s="5"/>
      <c r="R35" s="5"/>
      <c r="S35" s="5"/>
      <c r="T35" s="5"/>
      <c r="U35" s="5"/>
      <c r="V35" s="5"/>
    </row>
    <row r="36" spans="2:22" ht="12">
      <c r="B36" s="33"/>
      <c r="C36" s="5"/>
      <c r="D36" s="5"/>
      <c r="E36" s="5"/>
      <c r="F36" s="5"/>
      <c r="G36" s="5"/>
      <c r="H36" s="5"/>
      <c r="I36" s="24"/>
      <c r="J36" s="24"/>
      <c r="K36" s="24"/>
      <c r="L36" s="24"/>
      <c r="M36" s="24"/>
      <c r="N36" s="24"/>
      <c r="O36" s="24"/>
      <c r="P36" s="5"/>
      <c r="Q36" s="5"/>
      <c r="R36" s="5"/>
      <c r="S36" s="5"/>
      <c r="T36" s="5"/>
      <c r="U36" s="5"/>
      <c r="V36" s="5"/>
    </row>
    <row r="37" spans="1:22" s="1" customFormat="1" ht="12">
      <c r="A37" s="1" t="s">
        <v>21</v>
      </c>
      <c r="B37" s="37">
        <f>B29-B34</f>
        <v>473000</v>
      </c>
      <c r="C37" s="6">
        <f>C29-C34</f>
        <v>516000</v>
      </c>
      <c r="D37" s="6">
        <f aca="true" t="shared" si="9" ref="D37:O37">D29-D34</f>
        <v>2265000</v>
      </c>
      <c r="E37" s="6">
        <f t="shared" si="9"/>
        <v>2981000</v>
      </c>
      <c r="F37" s="6">
        <f t="shared" si="9"/>
        <v>2732000</v>
      </c>
      <c r="G37" s="6">
        <f t="shared" si="9"/>
        <v>2515000</v>
      </c>
      <c r="H37" s="6">
        <f t="shared" si="9"/>
        <v>2411000</v>
      </c>
      <c r="I37" s="29">
        <f t="shared" si="9"/>
        <v>2285000</v>
      </c>
      <c r="J37" s="29">
        <f t="shared" si="9"/>
        <v>1856000</v>
      </c>
      <c r="K37" s="29">
        <f t="shared" si="9"/>
        <v>2225000</v>
      </c>
      <c r="L37" s="29">
        <f t="shared" si="9"/>
        <v>2187000</v>
      </c>
      <c r="M37" s="29">
        <f t="shared" si="9"/>
        <v>2173000</v>
      </c>
      <c r="N37" s="29">
        <f t="shared" si="9"/>
        <v>1864000</v>
      </c>
      <c r="O37" s="29">
        <f t="shared" si="9"/>
        <v>1649000</v>
      </c>
      <c r="P37" s="6"/>
      <c r="Q37" s="6"/>
      <c r="R37" s="6"/>
      <c r="S37" s="6"/>
      <c r="T37" s="6"/>
      <c r="U37" s="6"/>
      <c r="V37" s="6"/>
    </row>
    <row r="38" spans="1:22" ht="12">
      <c r="A38" s="2" t="s">
        <v>22</v>
      </c>
      <c r="B38" s="35">
        <f>B37/B6</f>
        <v>0.12317708333333334</v>
      </c>
      <c r="C38" s="11">
        <f>C37/C6</f>
        <v>0.058490138290637046</v>
      </c>
      <c r="D38" s="11">
        <f aca="true" t="shared" si="10" ref="D38:O38">D37/D6</f>
        <v>0.19792030758476056</v>
      </c>
      <c r="E38" s="11">
        <f t="shared" si="10"/>
        <v>0.22214770102094045</v>
      </c>
      <c r="F38" s="11">
        <f t="shared" si="10"/>
        <v>0.1916654974042374</v>
      </c>
      <c r="G38" s="11">
        <f t="shared" si="10"/>
        <v>0.19179440250133456</v>
      </c>
      <c r="H38" s="11">
        <f t="shared" si="10"/>
        <v>0.18860987248689665</v>
      </c>
      <c r="I38" s="27">
        <f t="shared" si="10"/>
        <v>0.17720046529662659</v>
      </c>
      <c r="J38" s="27">
        <f t="shared" si="10"/>
        <v>0.14464967656457017</v>
      </c>
      <c r="K38" s="27">
        <f t="shared" si="10"/>
        <v>0.15991088112692253</v>
      </c>
      <c r="L38" s="27">
        <f t="shared" si="10"/>
        <v>0.1621802002224694</v>
      </c>
      <c r="M38" s="27">
        <f t="shared" si="10"/>
        <v>0.1661569047254932</v>
      </c>
      <c r="N38" s="27">
        <f t="shared" si="10"/>
        <v>0.16197427876259993</v>
      </c>
      <c r="O38" s="27">
        <f t="shared" si="10"/>
        <v>0.14910932272357355</v>
      </c>
      <c r="P38" s="5"/>
      <c r="Q38" s="5"/>
      <c r="R38" s="5"/>
      <c r="S38" s="5"/>
      <c r="T38" s="5"/>
      <c r="U38" s="5"/>
      <c r="V38" s="5"/>
    </row>
    <row r="39" spans="2:22" ht="12">
      <c r="B39" s="33"/>
      <c r="C39" s="5"/>
      <c r="D39" s="5"/>
      <c r="E39" s="5"/>
      <c r="F39" s="5"/>
      <c r="G39" s="5"/>
      <c r="H39" s="5"/>
      <c r="I39" s="24"/>
      <c r="J39" s="24"/>
      <c r="K39" s="24"/>
      <c r="L39" s="24"/>
      <c r="M39" s="24"/>
      <c r="N39" s="24"/>
      <c r="O39" s="24"/>
      <c r="P39" s="5"/>
      <c r="Q39" s="5"/>
      <c r="R39" s="5"/>
      <c r="S39" s="5"/>
      <c r="T39" s="5"/>
      <c r="U39" s="5"/>
      <c r="V39" s="5"/>
    </row>
    <row r="40" spans="1:15" ht="12">
      <c r="A40" s="2" t="s">
        <v>70</v>
      </c>
      <c r="B40" s="33">
        <v>5112050</v>
      </c>
      <c r="C40" s="5">
        <v>5167806</v>
      </c>
      <c r="D40" s="5">
        <v>5307829</v>
      </c>
      <c r="E40" s="5">
        <v>5340769</v>
      </c>
      <c r="F40" s="5">
        <v>5360740</v>
      </c>
      <c r="G40" s="5">
        <v>5399982</v>
      </c>
      <c r="H40" s="5">
        <v>5402528</v>
      </c>
      <c r="I40" s="24">
        <v>5402528</v>
      </c>
      <c r="J40" s="24">
        <v>5588686</v>
      </c>
      <c r="K40" s="24">
        <v>5892881</v>
      </c>
      <c r="L40" s="24">
        <v>6043111</v>
      </c>
      <c r="M40" s="24">
        <v>6018151</v>
      </c>
      <c r="N40" s="24">
        <v>6053483</v>
      </c>
      <c r="O40" s="24">
        <v>6068109</v>
      </c>
    </row>
    <row r="41" spans="2:15" ht="12">
      <c r="B41" s="33"/>
      <c r="I41" s="23"/>
      <c r="J41" s="23"/>
      <c r="K41" s="23"/>
      <c r="L41" s="23"/>
      <c r="M41" s="23"/>
      <c r="N41" s="23"/>
      <c r="O41" s="23"/>
    </row>
    <row r="42" spans="1:15" s="1" customFormat="1" ht="12">
      <c r="A42" s="1" t="s">
        <v>71</v>
      </c>
      <c r="B42" s="38">
        <f>B37/B40</f>
        <v>0.09252648154849816</v>
      </c>
      <c r="C42" s="4">
        <f>C37/C40</f>
        <v>0.09984894943811745</v>
      </c>
      <c r="D42" s="4">
        <f aca="true" t="shared" si="11" ref="D42:O42">D37/D40</f>
        <v>0.4267281406390447</v>
      </c>
      <c r="E42" s="4">
        <f t="shared" si="11"/>
        <v>0.558159321251303</v>
      </c>
      <c r="F42" s="4">
        <f t="shared" si="11"/>
        <v>0.509631133015218</v>
      </c>
      <c r="G42" s="4">
        <f t="shared" si="11"/>
        <v>0.46574229321505145</v>
      </c>
      <c r="H42" s="4">
        <f t="shared" si="11"/>
        <v>0.4462725598090376</v>
      </c>
      <c r="I42" s="30">
        <f t="shared" si="11"/>
        <v>0.42295014482109117</v>
      </c>
      <c r="J42" s="30">
        <f t="shared" si="11"/>
        <v>0.3320995310883453</v>
      </c>
      <c r="K42" s="30">
        <f t="shared" si="11"/>
        <v>0.3775742289722124</v>
      </c>
      <c r="L42" s="30">
        <f t="shared" si="11"/>
        <v>0.36189969040780484</v>
      </c>
      <c r="M42" s="30">
        <f t="shared" si="11"/>
        <v>0.3610743565590162</v>
      </c>
      <c r="N42" s="30">
        <f t="shared" si="11"/>
        <v>0.30792190215120785</v>
      </c>
      <c r="O42" s="30">
        <f t="shared" si="11"/>
        <v>0.27174857933501195</v>
      </c>
    </row>
    <row r="43" spans="2:15" ht="12">
      <c r="B43" s="33"/>
      <c r="I43" s="23"/>
      <c r="J43" s="23"/>
      <c r="K43" s="23"/>
      <c r="L43" s="23"/>
      <c r="M43" s="23"/>
      <c r="N43" s="23"/>
      <c r="O43" s="23"/>
    </row>
    <row r="44" spans="1:15" ht="12">
      <c r="A44" s="1" t="s">
        <v>76</v>
      </c>
      <c r="B44" s="33"/>
      <c r="I44" s="23"/>
      <c r="J44" s="23"/>
      <c r="K44" s="23"/>
      <c r="L44" s="23"/>
      <c r="M44" s="23"/>
      <c r="N44" s="23"/>
      <c r="O44" s="23"/>
    </row>
    <row r="45" spans="2:15" ht="12">
      <c r="B45" s="33"/>
      <c r="I45" s="23"/>
      <c r="J45" s="23"/>
      <c r="K45" s="23"/>
      <c r="L45" s="23"/>
      <c r="M45" s="23"/>
      <c r="N45" s="23"/>
      <c r="O45" s="23"/>
    </row>
    <row r="46" spans="1:15" ht="12">
      <c r="A46" s="2" t="s">
        <v>72</v>
      </c>
      <c r="B46" s="33">
        <v>1261000</v>
      </c>
      <c r="C46" s="5">
        <v>2748000</v>
      </c>
      <c r="D46" s="5">
        <v>2585000</v>
      </c>
      <c r="E46" s="5">
        <v>2614000</v>
      </c>
      <c r="F46" s="5">
        <v>2623000</v>
      </c>
      <c r="G46" s="5">
        <v>2894000</v>
      </c>
      <c r="H46" s="5">
        <v>2450000</v>
      </c>
      <c r="I46" s="24">
        <f>1943000+992000</f>
        <v>2935000</v>
      </c>
      <c r="J46" s="24">
        <f>-681000+2472000</f>
        <v>1791000</v>
      </c>
      <c r="K46" s="24">
        <f>1719000-422000</f>
        <v>1297000</v>
      </c>
      <c r="L46" s="24">
        <f>953000+1175000</f>
        <v>2128000</v>
      </c>
      <c r="M46" s="24">
        <f>683000+1001000</f>
        <v>1684000</v>
      </c>
      <c r="N46" s="24">
        <f>464000+1033000</f>
        <v>1497000</v>
      </c>
      <c r="O46" s="24">
        <f>5000+1275000</f>
        <v>1280000</v>
      </c>
    </row>
    <row r="47" spans="1:15" ht="12">
      <c r="A47" s="2" t="s">
        <v>73</v>
      </c>
      <c r="B47" s="33">
        <v>28000</v>
      </c>
      <c r="C47" s="5">
        <v>143000</v>
      </c>
      <c r="D47" s="5">
        <v>176000</v>
      </c>
      <c r="E47" s="5">
        <v>82000</v>
      </c>
      <c r="F47" s="5">
        <v>335000</v>
      </c>
      <c r="G47" s="5">
        <v>158000</v>
      </c>
      <c r="H47" s="5">
        <v>191000</v>
      </c>
      <c r="I47" s="24">
        <v>84000</v>
      </c>
      <c r="J47" s="24">
        <v>184000</v>
      </c>
      <c r="K47" s="24">
        <v>149000</v>
      </c>
      <c r="L47" s="24">
        <v>653000</v>
      </c>
      <c r="M47" s="24">
        <v>335000</v>
      </c>
      <c r="N47" s="24">
        <v>108000</v>
      </c>
      <c r="O47" s="24">
        <v>232000</v>
      </c>
    </row>
    <row r="48" spans="1:15" s="1" customFormat="1" ht="12">
      <c r="A48" s="1" t="s">
        <v>74</v>
      </c>
      <c r="B48" s="39">
        <f>B46-B47</f>
        <v>1233000</v>
      </c>
      <c r="C48" s="7">
        <f>C46-C47</f>
        <v>2605000</v>
      </c>
      <c r="D48" s="7">
        <f aca="true" t="shared" si="12" ref="D48:O48">D46-D47</f>
        <v>2409000</v>
      </c>
      <c r="E48" s="7">
        <f t="shared" si="12"/>
        <v>2532000</v>
      </c>
      <c r="F48" s="7">
        <f t="shared" si="12"/>
        <v>2288000</v>
      </c>
      <c r="G48" s="7">
        <f t="shared" si="12"/>
        <v>2736000</v>
      </c>
      <c r="H48" s="7">
        <f t="shared" si="12"/>
        <v>2259000</v>
      </c>
      <c r="I48" s="31">
        <f t="shared" si="12"/>
        <v>2851000</v>
      </c>
      <c r="J48" s="31">
        <f t="shared" si="12"/>
        <v>1607000</v>
      </c>
      <c r="K48" s="31">
        <f t="shared" si="12"/>
        <v>1148000</v>
      </c>
      <c r="L48" s="31">
        <f t="shared" si="12"/>
        <v>1475000</v>
      </c>
      <c r="M48" s="31">
        <f t="shared" si="12"/>
        <v>1349000</v>
      </c>
      <c r="N48" s="31">
        <f t="shared" si="12"/>
        <v>1389000</v>
      </c>
      <c r="O48" s="31">
        <f t="shared" si="12"/>
        <v>1048000</v>
      </c>
    </row>
    <row r="49" spans="2:15" ht="12">
      <c r="B49" s="33"/>
      <c r="C49" s="5"/>
      <c r="D49" s="5"/>
      <c r="E49" s="5"/>
      <c r="F49" s="5"/>
      <c r="G49" s="5"/>
      <c r="H49" s="5"/>
      <c r="I49" s="24"/>
      <c r="J49" s="24"/>
      <c r="K49" s="24"/>
      <c r="L49" s="24"/>
      <c r="M49" s="24"/>
      <c r="N49" s="24"/>
      <c r="O49" s="24"/>
    </row>
    <row r="50" spans="1:15" ht="12">
      <c r="A50" s="2" t="s">
        <v>75</v>
      </c>
      <c r="B50" s="33">
        <v>80000</v>
      </c>
      <c r="C50" s="5">
        <v>173000</v>
      </c>
      <c r="D50" s="5">
        <v>170000</v>
      </c>
      <c r="E50" s="5">
        <v>180000</v>
      </c>
      <c r="F50" s="5">
        <v>184000</v>
      </c>
      <c r="G50" s="5">
        <v>206000</v>
      </c>
      <c r="H50" s="5">
        <v>235000</v>
      </c>
      <c r="I50" s="24">
        <v>263000</v>
      </c>
      <c r="J50" s="24">
        <v>261000</v>
      </c>
      <c r="K50" s="24">
        <v>265000</v>
      </c>
      <c r="L50" s="24">
        <v>208000</v>
      </c>
      <c r="M50" s="24">
        <v>166000</v>
      </c>
      <c r="N50" s="24">
        <v>124000</v>
      </c>
      <c r="O50" s="24">
        <v>109000</v>
      </c>
    </row>
    <row r="51" spans="2:15" ht="12">
      <c r="B51" s="33"/>
      <c r="C51" s="5"/>
      <c r="D51" s="5"/>
      <c r="E51" s="5"/>
      <c r="F51" s="5"/>
      <c r="G51" s="5"/>
      <c r="H51" s="5"/>
      <c r="I51" s="24"/>
      <c r="J51" s="24"/>
      <c r="K51" s="24"/>
      <c r="L51" s="24"/>
      <c r="M51" s="24"/>
      <c r="N51" s="24"/>
      <c r="O51" s="24"/>
    </row>
    <row r="52" spans="1:15" ht="12">
      <c r="A52" s="2" t="s">
        <v>77</v>
      </c>
      <c r="B52" s="33">
        <v>2364000</v>
      </c>
      <c r="C52" s="5">
        <v>1296000</v>
      </c>
      <c r="D52" s="5">
        <v>6868000</v>
      </c>
      <c r="E52" s="5">
        <v>10922000</v>
      </c>
      <c r="F52" s="5">
        <v>4323000</v>
      </c>
      <c r="G52" s="5">
        <v>5331000</v>
      </c>
      <c r="H52" s="5">
        <v>1567000</v>
      </c>
      <c r="I52" s="24" t="s">
        <v>100</v>
      </c>
      <c r="J52" s="24"/>
      <c r="K52" s="24"/>
      <c r="L52" s="24"/>
      <c r="M52" s="24"/>
      <c r="N52" s="24"/>
      <c r="O52" s="24"/>
    </row>
    <row r="53" spans="1:15" ht="12">
      <c r="A53" s="2" t="s">
        <v>78</v>
      </c>
      <c r="B53" s="33">
        <v>225000</v>
      </c>
      <c r="C53" s="5">
        <v>260000</v>
      </c>
      <c r="D53" s="5">
        <v>5510000</v>
      </c>
      <c r="E53" s="5">
        <v>8387000</v>
      </c>
      <c r="F53" s="5">
        <v>2751000</v>
      </c>
      <c r="G53" s="5">
        <v>4290000</v>
      </c>
      <c r="H53" s="5">
        <v>1003000</v>
      </c>
      <c r="I53" s="24"/>
      <c r="J53" s="24"/>
      <c r="K53" s="24"/>
      <c r="L53" s="24"/>
      <c r="M53" s="24"/>
      <c r="N53" s="24"/>
      <c r="O53" s="24"/>
    </row>
    <row r="54" spans="1:15" s="1" customFormat="1" ht="12">
      <c r="A54" s="1" t="s">
        <v>79</v>
      </c>
      <c r="B54" s="39">
        <f>B52-B53</f>
        <v>2139000</v>
      </c>
      <c r="C54" s="7">
        <f>C52-C53</f>
        <v>1036000</v>
      </c>
      <c r="D54" s="7">
        <f>D52-D53</f>
        <v>1358000</v>
      </c>
      <c r="E54" s="7">
        <f>E52-E53</f>
        <v>2535000</v>
      </c>
      <c r="F54" s="7">
        <f>F52-F53</f>
        <v>1572000</v>
      </c>
      <c r="G54" s="7">
        <f>G52-G53</f>
        <v>1041000</v>
      </c>
      <c r="H54" s="7">
        <f>H52-H53</f>
        <v>564000</v>
      </c>
      <c r="I54" s="31">
        <v>992000</v>
      </c>
      <c r="J54" s="31">
        <v>2472000</v>
      </c>
      <c r="K54" s="31">
        <v>-422000</v>
      </c>
      <c r="L54" s="31">
        <v>1175000</v>
      </c>
      <c r="M54" s="31">
        <v>1001000</v>
      </c>
      <c r="N54" s="31">
        <v>1033000</v>
      </c>
      <c r="O54" s="31">
        <v>1275000</v>
      </c>
    </row>
    <row r="55" spans="2:15" ht="12">
      <c r="B55" s="33"/>
      <c r="C55" s="5"/>
      <c r="D55" s="5"/>
      <c r="E55" s="5"/>
      <c r="F55" s="5"/>
      <c r="G55" s="5"/>
      <c r="H55" s="5"/>
      <c r="I55" s="24"/>
      <c r="J55" s="24"/>
      <c r="K55" s="24"/>
      <c r="L55" s="24"/>
      <c r="M55" s="24"/>
      <c r="N55" s="24"/>
      <c r="O55" s="24"/>
    </row>
    <row r="56" spans="1:15" ht="12">
      <c r="A56" s="2" t="s">
        <v>39</v>
      </c>
      <c r="B56" s="33">
        <v>784000</v>
      </c>
      <c r="C56" s="5">
        <v>802000</v>
      </c>
      <c r="D56" s="5">
        <v>829000</v>
      </c>
      <c r="E56" s="5">
        <v>732000</v>
      </c>
      <c r="F56" s="5">
        <v>495000</v>
      </c>
      <c r="G56" s="5">
        <v>490000</v>
      </c>
      <c r="H56" s="5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</row>
    <row r="57" spans="1:15" ht="12">
      <c r="A57" s="2" t="s">
        <v>81</v>
      </c>
      <c r="B57" s="33">
        <v>225000</v>
      </c>
      <c r="C57" s="5">
        <v>171000</v>
      </c>
      <c r="D57" s="5">
        <v>788000</v>
      </c>
      <c r="E57" s="5">
        <v>79000</v>
      </c>
      <c r="F57" s="5">
        <v>226000</v>
      </c>
      <c r="G57" s="5">
        <v>49000</v>
      </c>
      <c r="H57" s="5">
        <v>0</v>
      </c>
      <c r="I57" s="24">
        <v>0</v>
      </c>
      <c r="J57" s="24">
        <v>700000</v>
      </c>
      <c r="K57" s="24">
        <v>7000</v>
      </c>
      <c r="L57" s="24">
        <v>372000</v>
      </c>
      <c r="M57" s="24">
        <v>60000</v>
      </c>
      <c r="N57" s="24">
        <v>60000</v>
      </c>
      <c r="O57" s="24">
        <v>0</v>
      </c>
    </row>
    <row r="59" spans="1:7" ht="12">
      <c r="A59" s="45" t="s">
        <v>107</v>
      </c>
      <c r="B59" s="33"/>
      <c r="C59" s="46"/>
      <c r="D59" s="47"/>
      <c r="E59" s="46"/>
      <c r="F59" s="46"/>
      <c r="G59" s="46"/>
    </row>
    <row r="60" spans="1:7" ht="12">
      <c r="A60" s="46" t="s">
        <v>84</v>
      </c>
      <c r="B60" s="33">
        <f>SUM(C37:H37)</f>
        <v>13420000</v>
      </c>
      <c r="C60" s="46"/>
      <c r="D60" s="46"/>
      <c r="E60" s="46"/>
      <c r="F60" s="46"/>
      <c r="G60" s="46"/>
    </row>
    <row r="61" spans="1:7" ht="12">
      <c r="A61" s="46" t="s">
        <v>85</v>
      </c>
      <c r="B61" s="33">
        <f>SUM(C48:H48)</f>
        <v>14829000</v>
      </c>
      <c r="C61" s="46"/>
      <c r="D61" s="46"/>
      <c r="E61" s="46"/>
      <c r="F61" s="46"/>
      <c r="G61" s="46"/>
    </row>
    <row r="62" spans="1:7" ht="12">
      <c r="A62" s="46"/>
      <c r="B62" s="33"/>
      <c r="C62" s="46"/>
      <c r="D62" s="46"/>
      <c r="E62" s="46"/>
      <c r="F62" s="46"/>
      <c r="G62" s="46"/>
    </row>
    <row r="63" spans="1:7" ht="12">
      <c r="A63" s="46" t="s">
        <v>82</v>
      </c>
      <c r="B63" s="33">
        <f>SUM(C47:H47)</f>
        <v>1085000</v>
      </c>
      <c r="C63" s="46" t="s">
        <v>108</v>
      </c>
      <c r="D63" s="46"/>
      <c r="E63" s="46"/>
      <c r="F63" s="46"/>
      <c r="G63" s="46"/>
    </row>
    <row r="64" spans="1:7" ht="12">
      <c r="A64" s="46" t="s">
        <v>83</v>
      </c>
      <c r="B64" s="33">
        <f>SUM(C50:G50)</f>
        <v>913000</v>
      </c>
      <c r="C64" s="46"/>
      <c r="D64" s="46"/>
      <c r="E64" s="46"/>
      <c r="F64" s="46"/>
      <c r="G64" s="46"/>
    </row>
    <row r="65" spans="1:7" ht="12">
      <c r="A65" s="46"/>
      <c r="B65" s="33"/>
      <c r="C65" s="46"/>
      <c r="D65" s="46"/>
      <c r="E65" s="46"/>
      <c r="F65" s="46"/>
      <c r="G65" s="46"/>
    </row>
    <row r="66" spans="1:7" ht="12">
      <c r="A66" s="46" t="s">
        <v>86</v>
      </c>
      <c r="B66" s="33">
        <f>SUM(C54:H54)</f>
        <v>8106000</v>
      </c>
      <c r="C66" s="46"/>
      <c r="D66" s="46"/>
      <c r="E66" s="46"/>
      <c r="F66" s="46"/>
      <c r="G66" s="46"/>
    </row>
    <row r="67" spans="1:7" ht="12">
      <c r="A67" s="46" t="s">
        <v>87</v>
      </c>
      <c r="B67" s="33">
        <f>SUM(C57:H57)</f>
        <v>1313000</v>
      </c>
      <c r="C67" s="46"/>
      <c r="D67" s="46"/>
      <c r="E67" s="46"/>
      <c r="F67" s="46"/>
      <c r="G67" s="46"/>
    </row>
    <row r="68" spans="1:7" ht="12">
      <c r="A68" s="46" t="s">
        <v>88</v>
      </c>
      <c r="B68" s="33">
        <f>SUM(C56:H56)</f>
        <v>3348000</v>
      </c>
      <c r="C68" s="46"/>
      <c r="D68" s="46"/>
      <c r="E68" s="46"/>
      <c r="F68" s="46"/>
      <c r="G68" s="46"/>
    </row>
    <row r="69" spans="1:7" ht="12">
      <c r="A69" s="46"/>
      <c r="B69" s="33"/>
      <c r="C69" s="46"/>
      <c r="D69" s="46"/>
      <c r="E69" s="46"/>
      <c r="F69" s="46"/>
      <c r="G69" s="46"/>
    </row>
    <row r="70" spans="1:7" ht="12">
      <c r="A70" s="45" t="s">
        <v>90</v>
      </c>
      <c r="B70" s="37">
        <f>SUM(C25:H25)</f>
        <v>-1751000</v>
      </c>
      <c r="C70" s="46"/>
      <c r="D70" s="46"/>
      <c r="E70" s="46"/>
      <c r="F70" s="46"/>
      <c r="G70" s="46"/>
    </row>
    <row r="73" spans="1:15" ht="12">
      <c r="A73" s="2" t="s">
        <v>89</v>
      </c>
      <c r="B73" s="44">
        <f>B37/'Balance Sheet'!B44</f>
        <v>0.01801149994288108</v>
      </c>
      <c r="C73" s="44">
        <f>C37/'Balance Sheet'!C44</f>
        <v>0.0197708724472202</v>
      </c>
      <c r="D73" s="44">
        <f>D37/'Balance Sheet'!D44</f>
        <v>0.08233968300130871</v>
      </c>
      <c r="E73" s="44">
        <f>E37/'Balance Sheet'!E44</f>
        <v>0.1097125611865592</v>
      </c>
      <c r="F73" s="44">
        <f>F37/'Balance Sheet'!F44</f>
        <v>0.10986889728947156</v>
      </c>
      <c r="G73" s="44">
        <f>G37/'Balance Sheet'!G44</f>
        <v>0.11403826970164142</v>
      </c>
      <c r="H73" s="44">
        <f>H37/'Balance Sheet'!H44</f>
        <v>0.11996218529206887</v>
      </c>
      <c r="I73" s="44">
        <f>I37/'Balance Sheet'!I44</f>
        <v>0.1328256699412893</v>
      </c>
      <c r="J73" s="44">
        <f>J37/'Balance Sheet'!J44</f>
        <v>0.12528689077899285</v>
      </c>
      <c r="K73" s="44">
        <f>K37/'Balance Sheet'!K44</f>
        <v>0.15551827776612848</v>
      </c>
      <c r="L73" s="44">
        <f>L37/'Balance Sheet'!L44</f>
        <v>0.1653061224489796</v>
      </c>
      <c r="M73" s="44">
        <f>M37/'Balance Sheet'!M44</f>
        <v>0.19131889417150907</v>
      </c>
      <c r="N73" s="44">
        <f>N37/'Balance Sheet'!N44</f>
        <v>0.20743378588916092</v>
      </c>
      <c r="O73" s="44">
        <f>O37/'Balance Sheet'!O44</f>
        <v>0.22864669994453687</v>
      </c>
    </row>
    <row r="75" spans="1:15" ht="12">
      <c r="A75" s="2" t="s">
        <v>91</v>
      </c>
      <c r="B75" s="5">
        <f>'Balance Sheet'!B44-'Balance Sheet'!B8</f>
        <v>7154000</v>
      </c>
      <c r="C75" s="5">
        <f>'Balance Sheet'!C44-'Balance Sheet'!C8</f>
        <v>10408000</v>
      </c>
      <c r="D75" s="5">
        <f>'Balance Sheet'!D44-'Balance Sheet'!D8</f>
        <v>9975000</v>
      </c>
      <c r="E75" s="5">
        <f>'Balance Sheet'!E44-'Balance Sheet'!E8</f>
        <v>10433000</v>
      </c>
      <c r="F75" s="5">
        <f>'Balance Sheet'!F44-'Balance Sheet'!F8</f>
        <v>11055000</v>
      </c>
      <c r="G75" s="5">
        <f>'Balance Sheet'!G44-'Balance Sheet'!G8</f>
        <v>10304000</v>
      </c>
      <c r="H75" s="5">
        <f>'Balance Sheet'!H44-'Balance Sheet'!H8</f>
        <v>9332000</v>
      </c>
      <c r="I75" s="5">
        <f>'Balance Sheet'!I44-'Balance Sheet'!I8</f>
        <v>7522000</v>
      </c>
      <c r="J75" s="5">
        <f>'Balance Sheet'!J44-'Balance Sheet'!J8</f>
        <v>6125000</v>
      </c>
      <c r="K75" s="5">
        <f>'Balance Sheet'!K44-'Balance Sheet'!K8</f>
        <v>8090000</v>
      </c>
      <c r="L75" s="5">
        <f>'Balance Sheet'!L44-'Balance Sheet'!L8</f>
        <v>6591000</v>
      </c>
      <c r="M75" s="5">
        <f>'Balance Sheet'!M44-'Balance Sheet'!M8</f>
        <v>5894000</v>
      </c>
      <c r="N75" s="5">
        <f>'Balance Sheet'!N44-'Balance Sheet'!N8</f>
        <v>4523000</v>
      </c>
      <c r="O75" s="5">
        <f>'Balance Sheet'!O44-'Balance Sheet'!O8</f>
        <v>3782000</v>
      </c>
    </row>
    <row r="76" spans="1:15" ht="12">
      <c r="A76" s="2" t="s">
        <v>101</v>
      </c>
      <c r="B76" s="44">
        <f>B18/B75</f>
        <v>0.03955828906905228</v>
      </c>
      <c r="C76" s="44">
        <f>C18/C75</f>
        <v>0.14267870868562643</v>
      </c>
      <c r="D76" s="44">
        <f>D18/D75</f>
        <v>0.2820050125313283</v>
      </c>
      <c r="E76" s="44">
        <f>E18/E75</f>
        <v>0.35071408032205503</v>
      </c>
      <c r="F76" s="44">
        <f>F18/F75</f>
        <v>0.3707824513794663</v>
      </c>
      <c r="G76" s="44">
        <f>G18/G75</f>
        <v>0.3529697204968944</v>
      </c>
      <c r="H76" s="44">
        <f>H18/H75</f>
        <v>0.3674453493356194</v>
      </c>
      <c r="I76" s="44">
        <f>I18/I75</f>
        <v>0.4465567668173358</v>
      </c>
      <c r="J76" s="44">
        <f>J18/J75</f>
        <v>0.4520816326530612</v>
      </c>
      <c r="K76" s="44">
        <f>K18/K75</f>
        <v>0.38504326328800986</v>
      </c>
      <c r="L76" s="44">
        <f>L18/L75</f>
        <v>0.4886967076316189</v>
      </c>
      <c r="M76" s="44">
        <f>M18/M75</f>
        <v>0.49949100780454697</v>
      </c>
      <c r="N76" s="44">
        <f>N18/N75</f>
        <v>0.5816935662171125</v>
      </c>
      <c r="O76" s="44">
        <f>O18/O75</f>
        <v>0.6636700158646219</v>
      </c>
    </row>
    <row r="79" spans="1:15" ht="12">
      <c r="A79" s="2" t="s">
        <v>97</v>
      </c>
      <c r="B79" s="5">
        <f>B37-B56-B57</f>
        <v>-536000</v>
      </c>
      <c r="C79" s="5">
        <f aca="true" t="shared" si="13" ref="C79:O79">C37-C56-C57</f>
        <v>-457000</v>
      </c>
      <c r="D79" s="5">
        <f t="shared" si="13"/>
        <v>648000</v>
      </c>
      <c r="E79" s="5">
        <f t="shared" si="13"/>
        <v>2170000</v>
      </c>
      <c r="F79" s="5">
        <f t="shared" si="13"/>
        <v>2011000</v>
      </c>
      <c r="G79" s="5">
        <f t="shared" si="13"/>
        <v>1976000</v>
      </c>
      <c r="H79" s="5">
        <f t="shared" si="13"/>
        <v>2411000</v>
      </c>
      <c r="I79" s="5">
        <f t="shared" si="13"/>
        <v>2285000</v>
      </c>
      <c r="J79" s="5">
        <f t="shared" si="13"/>
        <v>1156000</v>
      </c>
      <c r="K79" s="5">
        <f t="shared" si="13"/>
        <v>2218000</v>
      </c>
      <c r="L79" s="5">
        <f t="shared" si="13"/>
        <v>1815000</v>
      </c>
      <c r="M79" s="5">
        <f t="shared" si="13"/>
        <v>2113000</v>
      </c>
      <c r="N79" s="5">
        <f t="shared" si="13"/>
        <v>1804000</v>
      </c>
      <c r="O79" s="5">
        <f t="shared" si="13"/>
        <v>1649000</v>
      </c>
    </row>
    <row r="80" spans="1:2" ht="12">
      <c r="A80" s="1" t="s">
        <v>94</v>
      </c>
      <c r="B80" s="6">
        <f>SUM(B79:O79)</f>
        <v>21263000</v>
      </c>
    </row>
  </sheetData>
  <sheetProtection/>
  <printOptions/>
  <pageMargins left="0.7" right="0.7" top="0.75" bottom="0.75" header="0.3" footer="0.3"/>
  <pageSetup fitToHeight="5" fitToWidth="1" horizontalDpi="600" verticalDpi="600" orientation="landscape" scale="65" r:id="rId3"/>
  <ignoredErrors>
    <ignoredError sqref="B68 B63:B64 B70" formulaRange="1"/>
    <ignoredError sqref="B67" formula="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</dc:creator>
  <cp:keywords/>
  <dc:description/>
  <cp:lastModifiedBy>Ravi</cp:lastModifiedBy>
  <cp:lastPrinted>2010-01-09T02:34:21Z</cp:lastPrinted>
  <dcterms:created xsi:type="dcterms:W3CDTF">2009-09-17T14:10:19Z</dcterms:created>
  <dcterms:modified xsi:type="dcterms:W3CDTF">2010-01-21T21:48:21Z</dcterms:modified>
  <cp:category/>
  <cp:version/>
  <cp:contentType/>
  <cp:contentStatus/>
</cp:coreProperties>
</file>